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uan.delossantosm\Downloads\"/>
    </mc:Choice>
  </mc:AlternateContent>
  <xr:revisionPtr revIDLastSave="0" documentId="8_{12FBA57F-ACBD-45D0-AB78-B5D86EC9E13D}" xr6:coauthVersionLast="47" xr6:coauthVersionMax="47" xr10:uidLastSave="{00000000-0000-0000-0000-000000000000}"/>
  <bookViews>
    <workbookView xWindow="-120" yWindow="-120" windowWidth="29040" windowHeight="15720" firstSheet="6" activeTab="14" xr2:uid="{00000000-000D-0000-FFFF-FFFF00000000}"/>
  </bookViews>
  <sheets>
    <sheet name="Ene" sheetId="7" state="hidden" r:id="rId1"/>
    <sheet name="Feb" sheetId="6" state="hidden" r:id="rId2"/>
    <sheet name="Mar" sheetId="5" state="hidden" r:id="rId3"/>
    <sheet name="Jul" sheetId="13" state="hidden" r:id="rId4"/>
    <sheet name="Ago" sheetId="14" state="hidden" r:id="rId5"/>
    <sheet name="Sep" sheetId="15" state="hidden" r:id="rId6"/>
    <sheet name="enero" sheetId="16" r:id="rId7"/>
    <sheet name="febrero" sheetId="17" r:id="rId8"/>
    <sheet name="marzo" sheetId="18" r:id="rId9"/>
    <sheet name="Enero-Marzo" sheetId="4" state="hidden" r:id="rId10"/>
    <sheet name="1er Sem" sheetId="11" state="hidden" r:id="rId11"/>
    <sheet name="3er Trimestre" sheetId="1" state="hidden" r:id="rId12"/>
    <sheet name="Año 2018" sheetId="20" state="hidden" r:id="rId13"/>
    <sheet name="Año 2018 por zona" sheetId="19" state="hidden" r:id="rId14"/>
    <sheet name="1er trimestre" sheetId="21" r:id="rId15"/>
  </sheets>
  <externalReferences>
    <externalReference r:id="rId16"/>
  </externalReferences>
  <definedNames>
    <definedName name="_xlnm._FilterDatabase" localSheetId="12" hidden="1">'Año 2018'!$G$48:$H$65</definedName>
    <definedName name="_xlnm.Print_Area" localSheetId="10">'1er Sem'!$A$1:$X$110</definedName>
    <definedName name="_xlnm.Print_Area" localSheetId="11">'3er Trimestre'!$B$1:$M$57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21" l="1"/>
  <c r="P15" i="18" l="1"/>
  <c r="N17" i="17"/>
  <c r="M16" i="16"/>
  <c r="N20" i="18"/>
  <c r="I22" i="21"/>
  <c r="G22" i="21"/>
  <c r="F22" i="21"/>
  <c r="L20" i="1"/>
  <c r="K19" i="1"/>
  <c r="H19" i="1"/>
  <c r="J54" i="1"/>
  <c r="J53" i="1"/>
  <c r="J52" i="1"/>
  <c r="J51" i="1"/>
  <c r="J50" i="1"/>
  <c r="J49" i="1"/>
  <c r="J48" i="1"/>
  <c r="J47" i="1"/>
  <c r="J46" i="1"/>
  <c r="J45" i="1"/>
  <c r="J44" i="1"/>
  <c r="J41" i="1"/>
  <c r="J40" i="1"/>
  <c r="J39" i="1"/>
  <c r="J38" i="1"/>
  <c r="J37" i="1"/>
  <c r="J36" i="1"/>
  <c r="J35" i="1"/>
  <c r="J34" i="1"/>
  <c r="J33" i="1"/>
  <c r="J29" i="1"/>
  <c r="J28" i="1"/>
  <c r="J27" i="1"/>
  <c r="J26" i="1"/>
  <c r="J25" i="1"/>
  <c r="J24" i="1"/>
  <c r="J23" i="1"/>
  <c r="J22" i="1"/>
  <c r="J21" i="1"/>
  <c r="J20" i="1"/>
  <c r="J19" i="1"/>
  <c r="J18" i="1"/>
  <c r="J15" i="1"/>
  <c r="J14" i="1"/>
  <c r="J13" i="1"/>
  <c r="J12" i="1"/>
  <c r="J11" i="1"/>
  <c r="J10" i="1"/>
  <c r="J9" i="1"/>
  <c r="J8" i="1"/>
  <c r="J7" i="1"/>
  <c r="J6" i="1"/>
  <c r="I54" i="1"/>
  <c r="I53" i="1"/>
  <c r="I52" i="1"/>
  <c r="I51" i="1"/>
  <c r="I50" i="1"/>
  <c r="I49" i="1"/>
  <c r="I48" i="1"/>
  <c r="I47" i="1"/>
  <c r="I46" i="1"/>
  <c r="I45" i="1"/>
  <c r="I44" i="1"/>
  <c r="I41" i="1"/>
  <c r="I40" i="1"/>
  <c r="I39" i="1"/>
  <c r="I38" i="1"/>
  <c r="I37" i="1"/>
  <c r="I36" i="1"/>
  <c r="I35" i="1"/>
  <c r="I34" i="1"/>
  <c r="I33" i="1"/>
  <c r="I29" i="1"/>
  <c r="I28" i="1"/>
  <c r="I27" i="1"/>
  <c r="I26" i="1"/>
  <c r="I25" i="1"/>
  <c r="I24" i="1"/>
  <c r="I23" i="1"/>
  <c r="I22" i="1"/>
  <c r="I21" i="1"/>
  <c r="I20" i="1"/>
  <c r="I19" i="1"/>
  <c r="I18" i="1"/>
  <c r="I15" i="1"/>
  <c r="I14" i="1"/>
  <c r="I13" i="1"/>
  <c r="I12" i="1"/>
  <c r="I11" i="1"/>
  <c r="I10" i="1"/>
  <c r="I9" i="1"/>
  <c r="I8" i="1"/>
  <c r="I7" i="1"/>
  <c r="I6" i="1"/>
  <c r="G54" i="1"/>
  <c r="G53" i="1"/>
  <c r="G52" i="1"/>
  <c r="G51" i="1"/>
  <c r="G50" i="1"/>
  <c r="G49" i="1"/>
  <c r="G48" i="1"/>
  <c r="G47" i="1"/>
  <c r="G46" i="1"/>
  <c r="G45" i="1"/>
  <c r="G44" i="1"/>
  <c r="G41" i="1"/>
  <c r="G40" i="1"/>
  <c r="G39" i="1"/>
  <c r="G38" i="1"/>
  <c r="G37" i="1"/>
  <c r="G36" i="1"/>
  <c r="G35" i="1"/>
  <c r="G34" i="1"/>
  <c r="G33" i="1"/>
  <c r="G29" i="1"/>
  <c r="G28" i="1"/>
  <c r="G27" i="1"/>
  <c r="G26" i="1"/>
  <c r="G25" i="1"/>
  <c r="G24" i="1"/>
  <c r="G23" i="1"/>
  <c r="G22" i="1"/>
  <c r="G21" i="1"/>
  <c r="G20" i="1"/>
  <c r="G19" i="1"/>
  <c r="G18" i="1"/>
  <c r="G15" i="1"/>
  <c r="G14" i="1"/>
  <c r="G13" i="1"/>
  <c r="G12" i="1"/>
  <c r="G11" i="1"/>
  <c r="G10" i="1"/>
  <c r="G9" i="1"/>
  <c r="G8" i="1"/>
  <c r="G7" i="1"/>
  <c r="G6" i="1"/>
  <c r="F54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8" i="1"/>
  <c r="F37" i="1"/>
  <c r="F36" i="1"/>
  <c r="F35" i="1"/>
  <c r="F34" i="1"/>
  <c r="F33" i="1"/>
  <c r="F29" i="1"/>
  <c r="F28" i="1"/>
  <c r="F27" i="1"/>
  <c r="F26" i="1"/>
  <c r="F25" i="1"/>
  <c r="F24" i="1"/>
  <c r="F23" i="1"/>
  <c r="F22" i="1"/>
  <c r="F21" i="1"/>
  <c r="F20" i="1"/>
  <c r="F19" i="1"/>
  <c r="F15" i="1"/>
  <c r="F14" i="1"/>
  <c r="F13" i="1"/>
  <c r="F12" i="1"/>
  <c r="F11" i="1"/>
  <c r="F10" i="1"/>
  <c r="F9" i="1"/>
  <c r="F8" i="1"/>
  <c r="F7" i="1"/>
  <c r="F18" i="1"/>
  <c r="F6" i="1"/>
  <c r="F57" i="5"/>
  <c r="M7" i="7"/>
  <c r="M6" i="7"/>
  <c r="P16" i="18" l="1"/>
  <c r="J22" i="21"/>
  <c r="L22" i="21"/>
  <c r="N22" i="21" s="1"/>
  <c r="J43" i="21"/>
  <c r="I43" i="21"/>
  <c r="J42" i="21"/>
  <c r="I42" i="21"/>
  <c r="J41" i="21"/>
  <c r="I41" i="21"/>
  <c r="J40" i="21"/>
  <c r="I40" i="21"/>
  <c r="J39" i="21"/>
  <c r="I39" i="21"/>
  <c r="J38" i="21"/>
  <c r="I38" i="21"/>
  <c r="J37" i="21"/>
  <c r="I37" i="21"/>
  <c r="I36" i="21"/>
  <c r="J35" i="21"/>
  <c r="I35" i="21"/>
  <c r="G43" i="21"/>
  <c r="G42" i="21"/>
  <c r="G41" i="21"/>
  <c r="G40" i="21"/>
  <c r="G39" i="21"/>
  <c r="G38" i="21"/>
  <c r="G37" i="21"/>
  <c r="G36" i="21"/>
  <c r="G35" i="21"/>
  <c r="F31" i="21"/>
  <c r="F30" i="21"/>
  <c r="F29" i="21"/>
  <c r="F28" i="21"/>
  <c r="F27" i="21"/>
  <c r="F26" i="21"/>
  <c r="F25" i="21"/>
  <c r="F24" i="21"/>
  <c r="F23" i="21"/>
  <c r="F21" i="21"/>
  <c r="F20" i="21"/>
  <c r="I56" i="21"/>
  <c r="J55" i="21"/>
  <c r="I55" i="21"/>
  <c r="J54" i="21"/>
  <c r="I54" i="21"/>
  <c r="J53" i="21"/>
  <c r="I53" i="21"/>
  <c r="J52" i="21"/>
  <c r="I52" i="21"/>
  <c r="J51" i="21"/>
  <c r="I51" i="21"/>
  <c r="I50" i="21"/>
  <c r="J49" i="21"/>
  <c r="I49" i="21"/>
  <c r="J48" i="21"/>
  <c r="I48" i="21"/>
  <c r="I47" i="21"/>
  <c r="J46" i="21"/>
  <c r="I46" i="21"/>
  <c r="G56" i="21"/>
  <c r="G55" i="21"/>
  <c r="G54" i="21"/>
  <c r="G53" i="21"/>
  <c r="G52" i="21"/>
  <c r="G51" i="21"/>
  <c r="G50" i="21"/>
  <c r="G49" i="21"/>
  <c r="G48" i="21"/>
  <c r="G47" i="21"/>
  <c r="G46" i="21"/>
  <c r="F56" i="21"/>
  <c r="F55" i="21"/>
  <c r="F54" i="21"/>
  <c r="F53" i="21"/>
  <c r="F52" i="21"/>
  <c r="F51" i="21"/>
  <c r="F50" i="21"/>
  <c r="F49" i="21"/>
  <c r="F48" i="21"/>
  <c r="F47" i="21"/>
  <c r="F46" i="21"/>
  <c r="F43" i="21"/>
  <c r="F42" i="21"/>
  <c r="F41" i="21"/>
  <c r="F40" i="21"/>
  <c r="F39" i="21"/>
  <c r="F38" i="21"/>
  <c r="F37" i="21"/>
  <c r="F36" i="21"/>
  <c r="F35" i="21"/>
  <c r="I31" i="21"/>
  <c r="J30" i="21"/>
  <c r="I30" i="21"/>
  <c r="J29" i="21"/>
  <c r="I29" i="21"/>
  <c r="J28" i="21"/>
  <c r="I28" i="21"/>
  <c r="J27" i="21"/>
  <c r="I27" i="21"/>
  <c r="J26" i="21"/>
  <c r="I26" i="21"/>
  <c r="J25" i="21"/>
  <c r="I25" i="21"/>
  <c r="J24" i="21"/>
  <c r="I24" i="21"/>
  <c r="J23" i="21"/>
  <c r="I23" i="21"/>
  <c r="J21" i="21"/>
  <c r="I21" i="21"/>
  <c r="J20" i="21"/>
  <c r="I20" i="21"/>
  <c r="G31" i="21"/>
  <c r="G30" i="21"/>
  <c r="G29" i="21"/>
  <c r="H29" i="21" s="1"/>
  <c r="G28" i="21"/>
  <c r="G27" i="21"/>
  <c r="G26" i="21"/>
  <c r="H26" i="21" s="1"/>
  <c r="G25" i="21"/>
  <c r="G24" i="21"/>
  <c r="G23" i="21"/>
  <c r="H23" i="21" s="1"/>
  <c r="G21" i="21"/>
  <c r="H21" i="21" s="1"/>
  <c r="G20" i="21"/>
  <c r="H20" i="21" s="1"/>
  <c r="G17" i="21"/>
  <c r="G16" i="21"/>
  <c r="G15" i="21"/>
  <c r="G14" i="21"/>
  <c r="G13" i="21"/>
  <c r="G12" i="21"/>
  <c r="G11" i="21"/>
  <c r="G10" i="21"/>
  <c r="G9" i="21"/>
  <c r="G8" i="21"/>
  <c r="J17" i="21"/>
  <c r="J16" i="21"/>
  <c r="J15" i="21"/>
  <c r="J14" i="21"/>
  <c r="J13" i="21"/>
  <c r="J12" i="21"/>
  <c r="J11" i="21"/>
  <c r="J10" i="21"/>
  <c r="J9" i="21"/>
  <c r="J8" i="21"/>
  <c r="I17" i="21"/>
  <c r="I16" i="21"/>
  <c r="I15" i="21"/>
  <c r="I14" i="21"/>
  <c r="I13" i="21"/>
  <c r="I12" i="21"/>
  <c r="I11" i="21"/>
  <c r="I10" i="21"/>
  <c r="I9" i="21"/>
  <c r="I8" i="21"/>
  <c r="F17" i="21"/>
  <c r="F16" i="21"/>
  <c r="F15" i="21"/>
  <c r="F14" i="21"/>
  <c r="F13" i="21"/>
  <c r="F12" i="21"/>
  <c r="F11" i="21"/>
  <c r="F10" i="21"/>
  <c r="F9" i="21"/>
  <c r="J47" i="21" l="1"/>
  <c r="K47" i="21" s="1"/>
  <c r="J50" i="21"/>
  <c r="K49" i="21" s="1"/>
  <c r="J56" i="21"/>
  <c r="K55" i="21" s="1"/>
  <c r="Q29" i="21" s="1"/>
  <c r="J36" i="21"/>
  <c r="K35" i="21" s="1"/>
  <c r="K21" i="21"/>
  <c r="H30" i="21"/>
  <c r="H24" i="21"/>
  <c r="G57" i="21"/>
  <c r="H27" i="21"/>
  <c r="F8" i="21"/>
  <c r="E57" i="21"/>
  <c r="L56" i="21"/>
  <c r="N56" i="21" s="1"/>
  <c r="L53" i="21"/>
  <c r="N53" i="21" s="1"/>
  <c r="K53" i="21"/>
  <c r="H53" i="21"/>
  <c r="L52" i="21"/>
  <c r="N52" i="21" s="1"/>
  <c r="K51" i="21"/>
  <c r="L49" i="21"/>
  <c r="N49" i="21" s="1"/>
  <c r="H49" i="21"/>
  <c r="L48" i="21"/>
  <c r="N48" i="21" s="1"/>
  <c r="K48" i="21"/>
  <c r="H48" i="21"/>
  <c r="L47" i="21"/>
  <c r="N47" i="21" s="1"/>
  <c r="H47" i="21"/>
  <c r="L46" i="21"/>
  <c r="N46" i="21" s="1"/>
  <c r="H46" i="21"/>
  <c r="E44" i="21"/>
  <c r="K43" i="21"/>
  <c r="L43" i="21"/>
  <c r="N43" i="21" s="1"/>
  <c r="K42" i="21"/>
  <c r="L42" i="21"/>
  <c r="N42" i="21" s="1"/>
  <c r="K41" i="21"/>
  <c r="L41" i="21"/>
  <c r="N41" i="21" s="1"/>
  <c r="L40" i="21"/>
  <c r="N40" i="21" s="1"/>
  <c r="K39" i="21"/>
  <c r="Q27" i="21" s="1"/>
  <c r="L38" i="21"/>
  <c r="N38" i="21" s="1"/>
  <c r="K37" i="21"/>
  <c r="Q26" i="21" s="1"/>
  <c r="L37" i="21"/>
  <c r="N37" i="21" s="1"/>
  <c r="L36" i="21"/>
  <c r="N36" i="21" s="1"/>
  <c r="F44" i="21"/>
  <c r="E32" i="21"/>
  <c r="L31" i="21"/>
  <c r="N31" i="21" s="1"/>
  <c r="C31" i="21"/>
  <c r="K30" i="21"/>
  <c r="Q23" i="21" s="1"/>
  <c r="L29" i="21"/>
  <c r="N29" i="21" s="1"/>
  <c r="K29" i="21"/>
  <c r="K27" i="21"/>
  <c r="L26" i="21"/>
  <c r="N26" i="21" s="1"/>
  <c r="K26" i="21"/>
  <c r="K24" i="21"/>
  <c r="Q24" i="21" s="1"/>
  <c r="C24" i="21"/>
  <c r="L23" i="21"/>
  <c r="N23" i="21" s="1"/>
  <c r="K23" i="21"/>
  <c r="L20" i="21"/>
  <c r="N20" i="21" s="1"/>
  <c r="K20" i="21"/>
  <c r="I32" i="21"/>
  <c r="E18" i="21"/>
  <c r="K17" i="21"/>
  <c r="L16" i="21"/>
  <c r="N16" i="21" s="1"/>
  <c r="K15" i="21"/>
  <c r="L14" i="21"/>
  <c r="N14" i="21" s="1"/>
  <c r="K13" i="21"/>
  <c r="L12" i="21"/>
  <c r="N12" i="21" s="1"/>
  <c r="K11" i="21"/>
  <c r="Q20" i="21" s="1"/>
  <c r="K10" i="21"/>
  <c r="L9" i="21"/>
  <c r="N9" i="21" s="1"/>
  <c r="I18" i="21"/>
  <c r="G18" i="21"/>
  <c r="I33" i="21" l="1"/>
  <c r="E33" i="21"/>
  <c r="E58" i="21"/>
  <c r="K44" i="21"/>
  <c r="Q16" i="21"/>
  <c r="Q13" i="21"/>
  <c r="L39" i="21"/>
  <c r="N39" i="21" s="1"/>
  <c r="H39" i="21"/>
  <c r="L13" i="21"/>
  <c r="N13" i="21" s="1"/>
  <c r="L24" i="21"/>
  <c r="N24" i="21" s="1"/>
  <c r="G44" i="21"/>
  <c r="H35" i="21"/>
  <c r="L35" i="21"/>
  <c r="N35" i="21" s="1"/>
  <c r="J18" i="21"/>
  <c r="K8" i="21"/>
  <c r="H11" i="21"/>
  <c r="L11" i="21"/>
  <c r="N11" i="21" s="1"/>
  <c r="H15" i="21"/>
  <c r="L15" i="21"/>
  <c r="N15" i="21" s="1"/>
  <c r="F32" i="21"/>
  <c r="K32" i="21"/>
  <c r="L21" i="21"/>
  <c r="N21" i="21" s="1"/>
  <c r="H32" i="21"/>
  <c r="Q21" i="21" s="1"/>
  <c r="I57" i="21"/>
  <c r="F18" i="21"/>
  <c r="L10" i="21"/>
  <c r="N10" i="21" s="1"/>
  <c r="L17" i="21"/>
  <c r="N17" i="21" s="1"/>
  <c r="G32" i="21"/>
  <c r="J44" i="21"/>
  <c r="I44" i="21"/>
  <c r="F57" i="21"/>
  <c r="F58" i="21" s="1"/>
  <c r="J57" i="21"/>
  <c r="L25" i="21"/>
  <c r="N25" i="21" s="1"/>
  <c r="L27" i="21"/>
  <c r="N27" i="21" s="1"/>
  <c r="L28" i="21"/>
  <c r="N28" i="21" s="1"/>
  <c r="L30" i="21"/>
  <c r="N30" i="21" s="1"/>
  <c r="J32" i="21"/>
  <c r="L50" i="21"/>
  <c r="N50" i="21" s="1"/>
  <c r="H51" i="21"/>
  <c r="L51" i="21"/>
  <c r="N51" i="21" s="1"/>
  <c r="L54" i="21"/>
  <c r="N54" i="21" s="1"/>
  <c r="H55" i="21"/>
  <c r="L55" i="21"/>
  <c r="N55" i="21" s="1"/>
  <c r="H8" i="21"/>
  <c r="L8" i="21"/>
  <c r="N8" i="21" s="1"/>
  <c r="H10" i="21"/>
  <c r="H13" i="21"/>
  <c r="H17" i="21"/>
  <c r="H37" i="21"/>
  <c r="H41" i="21"/>
  <c r="H42" i="21"/>
  <c r="H43" i="21"/>
  <c r="K46" i="21"/>
  <c r="E59" i="21" l="1"/>
  <c r="L44" i="21"/>
  <c r="N44" i="21" s="1"/>
  <c r="F33" i="21"/>
  <c r="F59" i="21" s="1"/>
  <c r="L57" i="21"/>
  <c r="N57" i="21" s="1"/>
  <c r="H57" i="21"/>
  <c r="Q28" i="21" s="1"/>
  <c r="Q14" i="21"/>
  <c r="Q15" i="21"/>
  <c r="G58" i="21"/>
  <c r="K57" i="21"/>
  <c r="K58" i="21" s="1"/>
  <c r="Q30" i="21"/>
  <c r="L18" i="21"/>
  <c r="N18" i="21" s="1"/>
  <c r="I58" i="21"/>
  <c r="I59" i="21" s="1"/>
  <c r="G33" i="21"/>
  <c r="L32" i="21"/>
  <c r="N32" i="21" s="1"/>
  <c r="K18" i="21"/>
  <c r="K33" i="21" s="1"/>
  <c r="Q19" i="21"/>
  <c r="H18" i="21"/>
  <c r="J58" i="21"/>
  <c r="J33" i="21"/>
  <c r="H44" i="21"/>
  <c r="I60" i="21" l="1"/>
  <c r="J59" i="21"/>
  <c r="J60" i="21" s="1"/>
  <c r="L58" i="21"/>
  <c r="N58" i="21" s="1"/>
  <c r="G59" i="21"/>
  <c r="I64" i="21" s="1"/>
  <c r="H58" i="21"/>
  <c r="Q25" i="21"/>
  <c r="K59" i="21"/>
  <c r="K60" i="21" s="1"/>
  <c r="L33" i="21"/>
  <c r="N33" i="21" s="1"/>
  <c r="H33" i="21"/>
  <c r="Q18" i="21"/>
  <c r="Q9" i="21"/>
  <c r="Q10" i="21"/>
  <c r="G60" i="21" l="1"/>
  <c r="M22" i="21"/>
  <c r="L59" i="21"/>
  <c r="N59" i="21" s="1"/>
  <c r="M33" i="21"/>
  <c r="R9" i="21" s="1"/>
  <c r="H59" i="21"/>
  <c r="H60" i="21" s="1"/>
  <c r="M53" i="21"/>
  <c r="M49" i="21"/>
  <c r="M46" i="21"/>
  <c r="R30" i="21" s="1"/>
  <c r="M29" i="21"/>
  <c r="G62" i="21"/>
  <c r="M48" i="21"/>
  <c r="M47" i="21"/>
  <c r="M26" i="21"/>
  <c r="M43" i="21"/>
  <c r="M8" i="21"/>
  <c r="M59" i="21"/>
  <c r="M42" i="21"/>
  <c r="M37" i="21"/>
  <c r="M31" i="21"/>
  <c r="M23" i="21"/>
  <c r="M17" i="21"/>
  <c r="M14" i="21"/>
  <c r="M41" i="21"/>
  <c r="M36" i="21"/>
  <c r="M40" i="21"/>
  <c r="M24" i="21"/>
  <c r="M20" i="21"/>
  <c r="M13" i="21"/>
  <c r="M10" i="21"/>
  <c r="M51" i="21"/>
  <c r="M52" i="21"/>
  <c r="M21" i="21"/>
  <c r="M28" i="21"/>
  <c r="M54" i="21"/>
  <c r="M18" i="21"/>
  <c r="M57" i="21"/>
  <c r="M27" i="21"/>
  <c r="M35" i="21"/>
  <c r="M12" i="21"/>
  <c r="M55" i="21"/>
  <c r="M9" i="21"/>
  <c r="M50" i="21"/>
  <c r="M15" i="21"/>
  <c r="M30" i="21"/>
  <c r="M56" i="21"/>
  <c r="M38" i="21"/>
  <c r="M11" i="21"/>
  <c r="M39" i="21"/>
  <c r="M16" i="21"/>
  <c r="M25" i="21"/>
  <c r="M32" i="21"/>
  <c r="M44" i="21"/>
  <c r="M58" i="21"/>
  <c r="R10" i="21" s="1"/>
  <c r="R20" i="21" l="1"/>
  <c r="R23" i="21"/>
  <c r="R27" i="21"/>
  <c r="R19" i="21"/>
  <c r="R14" i="21"/>
  <c r="R21" i="21"/>
  <c r="R18" i="21"/>
  <c r="R13" i="21"/>
  <c r="R25" i="21"/>
  <c r="R15" i="21"/>
  <c r="R28" i="21"/>
  <c r="R16" i="21"/>
  <c r="R26" i="21"/>
  <c r="R29" i="21"/>
  <c r="N14" i="4" l="1"/>
  <c r="O19" i="19" l="1"/>
  <c r="O18" i="19"/>
  <c r="M8" i="17" l="1"/>
  <c r="I50" i="19" l="1"/>
  <c r="I49" i="19"/>
  <c r="J48" i="19"/>
  <c r="H14" i="20" s="1"/>
  <c r="I48" i="19"/>
  <c r="I47" i="19"/>
  <c r="I46" i="19"/>
  <c r="I45" i="19"/>
  <c r="I44" i="19"/>
  <c r="I43" i="19"/>
  <c r="I42" i="19"/>
  <c r="I41" i="19"/>
  <c r="I40" i="19"/>
  <c r="G48" i="19"/>
  <c r="E14" i="20" s="1"/>
  <c r="G47" i="19"/>
  <c r="E13" i="20" s="1"/>
  <c r="I37" i="19"/>
  <c r="I36" i="19"/>
  <c r="I35" i="19"/>
  <c r="I34" i="19"/>
  <c r="I33" i="19"/>
  <c r="I32" i="19"/>
  <c r="I31" i="19"/>
  <c r="I30" i="19"/>
  <c r="I29" i="19"/>
  <c r="G36" i="19"/>
  <c r="E2" i="20" s="1"/>
  <c r="I25" i="19"/>
  <c r="I24" i="19"/>
  <c r="I23" i="19"/>
  <c r="I22" i="19"/>
  <c r="I21" i="19"/>
  <c r="I20" i="19"/>
  <c r="I19" i="19"/>
  <c r="I18" i="19"/>
  <c r="I17" i="19"/>
  <c r="I16" i="19"/>
  <c r="I15" i="19"/>
  <c r="I12" i="19"/>
  <c r="I11" i="19"/>
  <c r="I10" i="19"/>
  <c r="I9" i="19"/>
  <c r="I8" i="19"/>
  <c r="I7" i="19"/>
  <c r="I6" i="19"/>
  <c r="I5" i="19"/>
  <c r="I4" i="19"/>
  <c r="F50" i="19"/>
  <c r="D40" i="20" s="1"/>
  <c r="C94" i="20" s="1"/>
  <c r="F49" i="19"/>
  <c r="D39" i="20" s="1"/>
  <c r="F48" i="19"/>
  <c r="D14" i="20" s="1"/>
  <c r="C107" i="20" s="1"/>
  <c r="F47" i="19"/>
  <c r="D13" i="20" s="1"/>
  <c r="C108" i="20" s="1"/>
  <c r="F46" i="19"/>
  <c r="D16" i="20" s="1"/>
  <c r="F45" i="19"/>
  <c r="D15" i="20" s="1"/>
  <c r="C87" i="20" s="1"/>
  <c r="F44" i="19"/>
  <c r="D20" i="20" s="1"/>
  <c r="F43" i="19"/>
  <c r="D19" i="20" s="1"/>
  <c r="C81" i="20" s="1"/>
  <c r="F42" i="19"/>
  <c r="D22" i="20" s="1"/>
  <c r="F41" i="19"/>
  <c r="D21" i="20" s="1"/>
  <c r="C79" i="20" s="1"/>
  <c r="F40" i="19"/>
  <c r="D28" i="20" s="1"/>
  <c r="C71" i="20" s="1"/>
  <c r="F37" i="19"/>
  <c r="D9" i="20" s="1"/>
  <c r="C76" i="20" s="1"/>
  <c r="F36" i="19"/>
  <c r="D2" i="20" s="1"/>
  <c r="C109" i="20" s="1"/>
  <c r="F35" i="19"/>
  <c r="D3" i="20" s="1"/>
  <c r="C99" i="20" s="1"/>
  <c r="F34" i="19"/>
  <c r="D38" i="20" s="1"/>
  <c r="C84" i="20" s="1"/>
  <c r="F33" i="19"/>
  <c r="D37" i="20" s="1"/>
  <c r="C89" i="20" s="1"/>
  <c r="F32" i="19"/>
  <c r="D44" i="20" s="1"/>
  <c r="C100" i="20" s="1"/>
  <c r="F31" i="19"/>
  <c r="F30" i="19"/>
  <c r="D35" i="20" s="1"/>
  <c r="F29" i="19"/>
  <c r="D34" i="20" s="1"/>
  <c r="C104" i="20" s="1"/>
  <c r="D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5" i="20"/>
  <c r="F44" i="20"/>
  <c r="F42" i="20"/>
  <c r="F40" i="20"/>
  <c r="F38" i="20"/>
  <c r="C36" i="20"/>
  <c r="F35" i="20"/>
  <c r="F33" i="20"/>
  <c r="F31" i="20"/>
  <c r="F27" i="20"/>
  <c r="I20" i="20"/>
  <c r="F20" i="20"/>
  <c r="C18" i="20"/>
  <c r="I16" i="20"/>
  <c r="F16" i="20"/>
  <c r="I14" i="20"/>
  <c r="F14" i="20"/>
  <c r="N13" i="20"/>
  <c r="N12" i="20"/>
  <c r="I12" i="20"/>
  <c r="F12" i="20"/>
  <c r="N11" i="20"/>
  <c r="N10" i="20"/>
  <c r="N9" i="20"/>
  <c r="N8" i="20"/>
  <c r="N7" i="20"/>
  <c r="I7" i="20"/>
  <c r="F7" i="20"/>
  <c r="N6" i="20"/>
  <c r="N5" i="20"/>
  <c r="I5" i="20"/>
  <c r="F5" i="20"/>
  <c r="N4" i="20"/>
  <c r="N3" i="20"/>
  <c r="N2" i="20"/>
  <c r="E51" i="19"/>
  <c r="E38" i="19"/>
  <c r="E26" i="19"/>
  <c r="C18" i="19"/>
  <c r="E13" i="19"/>
  <c r="M6" i="16"/>
  <c r="M6" i="15"/>
  <c r="M6" i="14"/>
  <c r="M9" i="18"/>
  <c r="M8" i="18"/>
  <c r="M7" i="18"/>
  <c r="M6" i="18"/>
  <c r="M9" i="17"/>
  <c r="M9" i="15"/>
  <c r="M8" i="15"/>
  <c r="M7" i="15"/>
  <c r="M9" i="13"/>
  <c r="M8" i="13"/>
  <c r="M7" i="13"/>
  <c r="M6" i="13"/>
  <c r="M9" i="16"/>
  <c r="M8" i="16"/>
  <c r="M7" i="16"/>
  <c r="M9" i="14"/>
  <c r="M8" i="14"/>
  <c r="M7" i="14"/>
  <c r="M11" i="20"/>
  <c r="M9" i="20"/>
  <c r="M8" i="20"/>
  <c r="M7" i="20"/>
  <c r="M6" i="20"/>
  <c r="M5" i="20"/>
  <c r="M4" i="20"/>
  <c r="E52" i="19" l="1"/>
  <c r="M10" i="15"/>
  <c r="M10" i="13"/>
  <c r="E27" i="19"/>
  <c r="E53" i="19" s="1"/>
  <c r="C46" i="20"/>
  <c r="C61" i="20"/>
  <c r="N14" i="20"/>
  <c r="M10" i="16"/>
  <c r="J36" i="19"/>
  <c r="H2" i="20" s="1"/>
  <c r="I2" i="20" s="1"/>
  <c r="G40" i="20"/>
  <c r="G9" i="20"/>
  <c r="G7" i="20"/>
  <c r="G4" i="20"/>
  <c r="G43" i="20"/>
  <c r="G42" i="20"/>
  <c r="G11" i="20"/>
  <c r="G17" i="20"/>
  <c r="G26" i="20"/>
  <c r="G5" i="20"/>
  <c r="G44" i="20"/>
  <c r="G2" i="20"/>
  <c r="G19" i="20"/>
  <c r="G13" i="20"/>
  <c r="G16" i="20"/>
  <c r="G29" i="20"/>
  <c r="G12" i="20"/>
  <c r="G25" i="20"/>
  <c r="G27" i="20"/>
  <c r="G10" i="20"/>
  <c r="G34" i="20"/>
  <c r="G37" i="20"/>
  <c r="G20" i="20"/>
  <c r="G14" i="20"/>
  <c r="G33" i="20"/>
  <c r="G24" i="20"/>
  <c r="G31" i="20"/>
  <c r="G3" i="20"/>
  <c r="G22" i="20"/>
  <c r="G39" i="20"/>
  <c r="G32" i="20"/>
  <c r="G6" i="20"/>
  <c r="G23" i="20"/>
  <c r="G30" i="20"/>
  <c r="G35" i="20"/>
  <c r="G38" i="20"/>
  <c r="G21" i="20"/>
  <c r="G15" i="20"/>
  <c r="J47" i="19"/>
  <c r="H13" i="20" s="1"/>
  <c r="I13" i="20" s="1"/>
  <c r="M10" i="18"/>
  <c r="M10" i="20"/>
  <c r="M10" i="14"/>
  <c r="C86" i="20"/>
  <c r="J13" i="20"/>
  <c r="C101" i="20"/>
  <c r="J2" i="20"/>
  <c r="C72" i="20"/>
  <c r="H36" i="19"/>
  <c r="J14" i="20"/>
  <c r="L36" i="19"/>
  <c r="L48" i="19"/>
  <c r="F51" i="19"/>
  <c r="D43" i="20"/>
  <c r="C95" i="20" s="1"/>
  <c r="I26" i="19"/>
  <c r="G8" i="20"/>
  <c r="I51" i="19"/>
  <c r="G28" i="20"/>
  <c r="I38" i="19"/>
  <c r="F38" i="19"/>
  <c r="C75" i="20"/>
  <c r="F13" i="20"/>
  <c r="C103" i="20"/>
  <c r="F2" i="20"/>
  <c r="H47" i="19"/>
  <c r="L47" i="19"/>
  <c r="H40" i="11"/>
  <c r="H14" i="11"/>
  <c r="H16" i="11"/>
  <c r="G35" i="11"/>
  <c r="H31" i="11"/>
  <c r="H5" i="11"/>
  <c r="H27" i="11"/>
  <c r="H7" i="11"/>
  <c r="H12" i="11"/>
  <c r="H42" i="11"/>
  <c r="E40" i="11"/>
  <c r="E39" i="11"/>
  <c r="E14" i="11"/>
  <c r="E13" i="11"/>
  <c r="E16" i="11"/>
  <c r="E15" i="11"/>
  <c r="E19" i="11"/>
  <c r="E22" i="11"/>
  <c r="F22" i="11" s="1"/>
  <c r="E21" i="11"/>
  <c r="H51" i="11" s="1"/>
  <c r="E28" i="11"/>
  <c r="H57" i="11" s="1"/>
  <c r="E3" i="11"/>
  <c r="F3" i="11" s="1"/>
  <c r="E38" i="11"/>
  <c r="E37" i="11"/>
  <c r="E44" i="11"/>
  <c r="E43" i="11"/>
  <c r="E35" i="11"/>
  <c r="E34" i="11"/>
  <c r="E31" i="11"/>
  <c r="E30" i="11"/>
  <c r="E10" i="11"/>
  <c r="E5" i="11"/>
  <c r="E4" i="11"/>
  <c r="E8" i="11"/>
  <c r="E27" i="11"/>
  <c r="E26" i="11"/>
  <c r="E24" i="11"/>
  <c r="H54" i="11" s="1"/>
  <c r="E23" i="11"/>
  <c r="E25" i="11"/>
  <c r="H55" i="11" s="1"/>
  <c r="E17" i="11"/>
  <c r="E7" i="11"/>
  <c r="E6" i="11"/>
  <c r="E12" i="11"/>
  <c r="E11" i="11"/>
  <c r="E33" i="11"/>
  <c r="E32" i="11"/>
  <c r="E29" i="11"/>
  <c r="E42" i="11"/>
  <c r="E41" i="11"/>
  <c r="D39" i="11"/>
  <c r="C100" i="11" s="1"/>
  <c r="D14" i="11"/>
  <c r="C99" i="11" s="1"/>
  <c r="D13" i="11"/>
  <c r="C101" i="11" s="1"/>
  <c r="D15" i="11"/>
  <c r="D20" i="11"/>
  <c r="C74" i="11" s="1"/>
  <c r="D19" i="11"/>
  <c r="C106" i="11" s="1"/>
  <c r="D22" i="11"/>
  <c r="C72" i="11" s="1"/>
  <c r="D21" i="11"/>
  <c r="D28" i="11"/>
  <c r="C70" i="11" s="1"/>
  <c r="D9" i="11"/>
  <c r="C107" i="11" s="1"/>
  <c r="D2" i="11"/>
  <c r="D3" i="11"/>
  <c r="C108" i="11" s="1"/>
  <c r="D38" i="11"/>
  <c r="C85" i="11" s="1"/>
  <c r="D37" i="11"/>
  <c r="D44" i="11"/>
  <c r="C93" i="11" s="1"/>
  <c r="D43" i="11"/>
  <c r="C97" i="11" s="1"/>
  <c r="D34" i="11"/>
  <c r="C104" i="11" s="1"/>
  <c r="D30" i="11"/>
  <c r="C92" i="11" s="1"/>
  <c r="D10" i="11"/>
  <c r="C83" i="11" s="1"/>
  <c r="D5" i="11"/>
  <c r="D4" i="11"/>
  <c r="D8" i="11"/>
  <c r="C84" i="11" s="1"/>
  <c r="D27" i="11"/>
  <c r="C76" i="11" s="1"/>
  <c r="D24" i="11"/>
  <c r="C69" i="11" s="1"/>
  <c r="D23" i="11"/>
  <c r="C71" i="11" s="1"/>
  <c r="D25" i="11"/>
  <c r="C89" i="11" s="1"/>
  <c r="D26" i="11"/>
  <c r="C81" i="11" s="1"/>
  <c r="D17" i="11"/>
  <c r="C86" i="11" s="1"/>
  <c r="D7" i="11"/>
  <c r="C96" i="11" s="1"/>
  <c r="D6" i="11"/>
  <c r="C98" i="11" s="1"/>
  <c r="D12" i="11"/>
  <c r="C82" i="11" s="1"/>
  <c r="D11" i="11"/>
  <c r="C77" i="11" s="1"/>
  <c r="D33" i="11"/>
  <c r="C91" i="11" s="1"/>
  <c r="D32" i="11"/>
  <c r="C88" i="11" s="1"/>
  <c r="D29" i="11"/>
  <c r="C73" i="11" s="1"/>
  <c r="D42" i="11"/>
  <c r="C95" i="11" s="1"/>
  <c r="D41" i="11"/>
  <c r="C90" i="11" s="1"/>
  <c r="D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5" i="11"/>
  <c r="F44" i="11"/>
  <c r="F42" i="11"/>
  <c r="F40" i="11"/>
  <c r="F38" i="11"/>
  <c r="C36" i="11"/>
  <c r="F35" i="11"/>
  <c r="F33" i="11"/>
  <c r="F31" i="11"/>
  <c r="F27" i="11"/>
  <c r="I20" i="11"/>
  <c r="F20" i="11"/>
  <c r="C18" i="11"/>
  <c r="I16" i="11"/>
  <c r="F16" i="11"/>
  <c r="I14" i="11"/>
  <c r="F14" i="11"/>
  <c r="N13" i="11"/>
  <c r="N12" i="11"/>
  <c r="I12" i="11"/>
  <c r="F12" i="11"/>
  <c r="N11" i="11"/>
  <c r="M11" i="11"/>
  <c r="N10" i="11"/>
  <c r="M10" i="11"/>
  <c r="N9" i="11"/>
  <c r="M9" i="11"/>
  <c r="N8" i="11"/>
  <c r="M8" i="11"/>
  <c r="N7" i="11"/>
  <c r="M7" i="11"/>
  <c r="I7" i="11"/>
  <c r="F7" i="11"/>
  <c r="N6" i="11"/>
  <c r="M6" i="11"/>
  <c r="N5" i="11"/>
  <c r="M5" i="11"/>
  <c r="I5" i="11"/>
  <c r="F5" i="11"/>
  <c r="N4" i="11"/>
  <c r="N3" i="11"/>
  <c r="N2" i="11"/>
  <c r="K36" i="19" l="1"/>
  <c r="C61" i="11"/>
  <c r="C109" i="11"/>
  <c r="E2" i="11"/>
  <c r="F2" i="11" s="1"/>
  <c r="G18" i="20"/>
  <c r="G36" i="20"/>
  <c r="K47" i="19"/>
  <c r="E9" i="11"/>
  <c r="G3" i="11"/>
  <c r="D16" i="11"/>
  <c r="C78" i="11" s="1"/>
  <c r="D40" i="11"/>
  <c r="C102" i="11" s="1"/>
  <c r="G26" i="11"/>
  <c r="G20" i="11"/>
  <c r="F52" i="19"/>
  <c r="I52" i="19"/>
  <c r="N14" i="11"/>
  <c r="D31" i="11"/>
  <c r="C94" i="11" s="1"/>
  <c r="C46" i="11"/>
  <c r="H33" i="11"/>
  <c r="G12" i="11"/>
  <c r="G5" i="11"/>
  <c r="H38" i="11"/>
  <c r="G40" i="11"/>
  <c r="E20" i="11"/>
  <c r="E36" i="11" s="1"/>
  <c r="G33" i="11"/>
  <c r="H35" i="11"/>
  <c r="H44" i="11"/>
  <c r="G38" i="11"/>
  <c r="H20" i="11"/>
  <c r="G7" i="11"/>
  <c r="G44" i="11"/>
  <c r="G2" i="11"/>
  <c r="H3" i="11"/>
  <c r="I3" i="11" s="1"/>
  <c r="G16" i="11"/>
  <c r="G42" i="11"/>
  <c r="H23" i="11"/>
  <c r="I23" i="11" s="1"/>
  <c r="H26" i="11"/>
  <c r="I26" i="11" s="1"/>
  <c r="H30" i="11"/>
  <c r="I30" i="11" s="1"/>
  <c r="G27" i="11"/>
  <c r="H11" i="11"/>
  <c r="I11" i="11" s="1"/>
  <c r="H2" i="11"/>
  <c r="I2" i="11" s="1"/>
  <c r="G14" i="11"/>
  <c r="G31" i="11"/>
  <c r="G43" i="11"/>
  <c r="G9" i="11"/>
  <c r="G41" i="11"/>
  <c r="D35" i="11"/>
  <c r="C103" i="11" s="1"/>
  <c r="J33" i="11"/>
  <c r="H56" i="11"/>
  <c r="F30" i="11"/>
  <c r="H61" i="11"/>
  <c r="F39" i="11"/>
  <c r="H65" i="11"/>
  <c r="J5" i="11"/>
  <c r="H63" i="11"/>
  <c r="J39" i="11"/>
  <c r="J19" i="11"/>
  <c r="J23" i="11"/>
  <c r="J44" i="11"/>
  <c r="H53" i="11"/>
  <c r="F23" i="11"/>
  <c r="J27" i="11"/>
  <c r="J13" i="11"/>
  <c r="J4" i="11"/>
  <c r="J8" i="11"/>
  <c r="J42" i="11"/>
  <c r="J11" i="11"/>
  <c r="F15" i="11"/>
  <c r="J32" i="11"/>
  <c r="H62" i="11"/>
  <c r="H64" i="11"/>
  <c r="C80" i="11"/>
  <c r="J17" i="11"/>
  <c r="C105" i="11"/>
  <c r="F24" i="11"/>
  <c r="F41" i="11"/>
  <c r="J3" i="11"/>
  <c r="J7" i="11"/>
  <c r="J15" i="11"/>
  <c r="C75" i="11"/>
  <c r="J29" i="11"/>
  <c r="F32" i="11"/>
  <c r="J38" i="11"/>
  <c r="F11" i="11"/>
  <c r="J22" i="11"/>
  <c r="J26" i="11"/>
  <c r="H59" i="11"/>
  <c r="J37" i="11"/>
  <c r="J41" i="11"/>
  <c r="H60" i="11"/>
  <c r="H52" i="11"/>
  <c r="H58" i="11"/>
  <c r="F26" i="11"/>
  <c r="F29" i="11"/>
  <c r="J30" i="11"/>
  <c r="C79" i="11"/>
  <c r="J14" i="11"/>
  <c r="J6" i="11"/>
  <c r="J10" i="11"/>
  <c r="G10" i="11"/>
  <c r="G22" i="11"/>
  <c r="G13" i="11"/>
  <c r="G29" i="11"/>
  <c r="G11" i="11"/>
  <c r="G21" i="11"/>
  <c r="G19" i="11"/>
  <c r="G30" i="11"/>
  <c r="G17" i="11"/>
  <c r="G28" i="11"/>
  <c r="G25" i="11"/>
  <c r="G23" i="11"/>
  <c r="G24" i="11"/>
  <c r="G8" i="11"/>
  <c r="G4" i="11"/>
  <c r="H34" i="11"/>
  <c r="G37" i="11"/>
  <c r="H32" i="11"/>
  <c r="G6" i="11"/>
  <c r="G15" i="11"/>
  <c r="G39" i="11"/>
  <c r="F21" i="11"/>
  <c r="J21" i="11"/>
  <c r="F25" i="11"/>
  <c r="J25" i="11"/>
  <c r="F28" i="11"/>
  <c r="J28" i="11"/>
  <c r="F34" i="11"/>
  <c r="J34" i="11"/>
  <c r="F43" i="11"/>
  <c r="J43" i="11"/>
  <c r="C87" i="11"/>
  <c r="F8" i="11"/>
  <c r="J12" i="11"/>
  <c r="F13" i="11"/>
  <c r="J24" i="11"/>
  <c r="F37" i="11"/>
  <c r="E45" i="11"/>
  <c r="F4" i="11"/>
  <c r="F6" i="11"/>
  <c r="F10" i="11"/>
  <c r="F17" i="11"/>
  <c r="C22" i="1"/>
  <c r="D18" i="11" l="1"/>
  <c r="J16" i="11"/>
  <c r="J2" i="11"/>
  <c r="E18" i="11"/>
  <c r="E46" i="11" s="1"/>
  <c r="M13" i="20"/>
  <c r="M13" i="11"/>
  <c r="M12" i="20"/>
  <c r="M12" i="11"/>
  <c r="F9" i="11"/>
  <c r="F18" i="11" s="1"/>
  <c r="H49" i="11"/>
  <c r="J9" i="11"/>
  <c r="J40" i="11"/>
  <c r="J45" i="11" s="1"/>
  <c r="D45" i="11"/>
  <c r="J31" i="11"/>
  <c r="J20" i="11"/>
  <c r="H50" i="11"/>
  <c r="F19" i="11"/>
  <c r="F36" i="11" s="1"/>
  <c r="I32" i="11"/>
  <c r="I34" i="11"/>
  <c r="H6" i="11"/>
  <c r="I6" i="11" s="1"/>
  <c r="G45" i="11"/>
  <c r="H17" i="11"/>
  <c r="I17" i="11" s="1"/>
  <c r="H22" i="11"/>
  <c r="I22" i="11" s="1"/>
  <c r="G18" i="11"/>
  <c r="H41" i="11"/>
  <c r="I41" i="11" s="1"/>
  <c r="H10" i="11"/>
  <c r="I10" i="11" s="1"/>
  <c r="H25" i="11"/>
  <c r="I25" i="11" s="1"/>
  <c r="H8" i="11"/>
  <c r="I8" i="11" s="1"/>
  <c r="H19" i="11"/>
  <c r="H9" i="11"/>
  <c r="I9" i="11" s="1"/>
  <c r="H39" i="11"/>
  <c r="I39" i="11" s="1"/>
  <c r="H29" i="11"/>
  <c r="I29" i="11" s="1"/>
  <c r="H21" i="11"/>
  <c r="I21" i="11" s="1"/>
  <c r="H43" i="11"/>
  <c r="I43" i="11" s="1"/>
  <c r="H37" i="11"/>
  <c r="H13" i="11"/>
  <c r="I13" i="11" s="1"/>
  <c r="H15" i="11"/>
  <c r="I15" i="11" s="1"/>
  <c r="H28" i="11"/>
  <c r="I28" i="11" s="1"/>
  <c r="H4" i="11"/>
  <c r="I4" i="11" s="1"/>
  <c r="H24" i="11"/>
  <c r="I24" i="11" s="1"/>
  <c r="G32" i="11"/>
  <c r="G34" i="11"/>
  <c r="D36" i="11"/>
  <c r="J35" i="11"/>
  <c r="F45" i="11"/>
  <c r="C29" i="1"/>
  <c r="D63" i="11" l="1"/>
  <c r="H66" i="11"/>
  <c r="J18" i="11"/>
  <c r="B63" i="11"/>
  <c r="J36" i="11"/>
  <c r="E63" i="11"/>
  <c r="C63" i="11"/>
  <c r="I18" i="11"/>
  <c r="G36" i="11"/>
  <c r="G46" i="11" s="1"/>
  <c r="D46" i="11"/>
  <c r="H36" i="11"/>
  <c r="I19" i="11"/>
  <c r="I36" i="11" s="1"/>
  <c r="H45" i="11"/>
  <c r="I37" i="11"/>
  <c r="I45" i="11" s="1"/>
  <c r="H18" i="11"/>
  <c r="F46" i="11"/>
  <c r="M13" i="4"/>
  <c r="M12" i="4"/>
  <c r="M11" i="4"/>
  <c r="M10" i="4"/>
  <c r="M9" i="4"/>
  <c r="M8" i="4"/>
  <c r="M7" i="4"/>
  <c r="M6" i="4"/>
  <c r="M5" i="4"/>
  <c r="J46" i="11" l="1"/>
  <c r="I46" i="11"/>
  <c r="H46" i="11"/>
  <c r="M9" i="6" l="1"/>
  <c r="M8" i="6"/>
  <c r="M7" i="6"/>
  <c r="M6" i="6"/>
  <c r="M9" i="7"/>
  <c r="M8" i="7"/>
  <c r="M9" i="5"/>
  <c r="M8" i="5"/>
  <c r="M7" i="5"/>
  <c r="M6" i="5"/>
  <c r="M4" i="11"/>
  <c r="M3" i="20"/>
  <c r="M2" i="20"/>
  <c r="H40" i="4"/>
  <c r="H39" i="4"/>
  <c r="H14" i="4"/>
  <c r="H13" i="4"/>
  <c r="H16" i="4"/>
  <c r="H15" i="4"/>
  <c r="H20" i="4"/>
  <c r="H19" i="4"/>
  <c r="H22" i="4"/>
  <c r="H21" i="4"/>
  <c r="H28" i="4"/>
  <c r="G40" i="4"/>
  <c r="G39" i="4"/>
  <c r="G14" i="4"/>
  <c r="G13" i="4"/>
  <c r="G16" i="4"/>
  <c r="G15" i="4"/>
  <c r="G20" i="4"/>
  <c r="G19" i="4"/>
  <c r="G22" i="4"/>
  <c r="G21" i="4"/>
  <c r="G28" i="4"/>
  <c r="E40" i="4"/>
  <c r="E39" i="4"/>
  <c r="E14" i="4"/>
  <c r="E16" i="4"/>
  <c r="E15" i="4"/>
  <c r="E20" i="4"/>
  <c r="E22" i="4"/>
  <c r="E21" i="4"/>
  <c r="E28" i="4"/>
  <c r="D40" i="4"/>
  <c r="C102" i="4" s="1"/>
  <c r="D13" i="4"/>
  <c r="C101" i="4" s="1"/>
  <c r="D16" i="4"/>
  <c r="C78" i="4" s="1"/>
  <c r="D19" i="4"/>
  <c r="C106" i="4" s="1"/>
  <c r="D22" i="4"/>
  <c r="C72" i="4" s="1"/>
  <c r="D28" i="4"/>
  <c r="C70" i="4" s="1"/>
  <c r="H9" i="4"/>
  <c r="H2" i="4"/>
  <c r="H3" i="4"/>
  <c r="H38" i="4"/>
  <c r="H37" i="4"/>
  <c r="H44" i="4"/>
  <c r="H43" i="4"/>
  <c r="H35" i="4"/>
  <c r="H34" i="4"/>
  <c r="G9" i="4"/>
  <c r="G2" i="4"/>
  <c r="G3" i="4"/>
  <c r="G38" i="4"/>
  <c r="G37" i="4"/>
  <c r="G44" i="4"/>
  <c r="G43" i="4"/>
  <c r="G35" i="4"/>
  <c r="G34" i="4"/>
  <c r="E9" i="4"/>
  <c r="E2" i="4"/>
  <c r="E3" i="4"/>
  <c r="E38" i="4"/>
  <c r="E35" i="4"/>
  <c r="E34" i="4"/>
  <c r="D9" i="4"/>
  <c r="C107" i="4" s="1"/>
  <c r="D2" i="4"/>
  <c r="D3" i="4"/>
  <c r="C108" i="4" s="1"/>
  <c r="D38" i="4"/>
  <c r="C85" i="4" s="1"/>
  <c r="D37" i="4"/>
  <c r="C87" i="4" s="1"/>
  <c r="D44" i="4"/>
  <c r="C93" i="4" s="1"/>
  <c r="D43" i="4"/>
  <c r="C97" i="4" s="1"/>
  <c r="D35" i="4"/>
  <c r="C103" i="4" s="1"/>
  <c r="D34" i="4"/>
  <c r="C104" i="4" s="1"/>
  <c r="H31" i="4"/>
  <c r="H30" i="4"/>
  <c r="H10" i="4"/>
  <c r="H5" i="4"/>
  <c r="H4" i="4"/>
  <c r="H8" i="4"/>
  <c r="H27" i="4"/>
  <c r="H26" i="4"/>
  <c r="H24" i="4"/>
  <c r="H23" i="4"/>
  <c r="H25" i="4"/>
  <c r="G31" i="4"/>
  <c r="G30" i="4"/>
  <c r="G10" i="4"/>
  <c r="G5" i="4"/>
  <c r="G4" i="4"/>
  <c r="G8" i="4"/>
  <c r="G27" i="4"/>
  <c r="G26" i="4"/>
  <c r="G24" i="4"/>
  <c r="G23" i="4"/>
  <c r="G25" i="4"/>
  <c r="G17" i="4"/>
  <c r="G7" i="4"/>
  <c r="G6" i="4"/>
  <c r="G12" i="4"/>
  <c r="G11" i="4"/>
  <c r="G33" i="4"/>
  <c r="G32" i="4"/>
  <c r="G29" i="4"/>
  <c r="G42" i="4"/>
  <c r="G41" i="4"/>
  <c r="E31" i="4"/>
  <c r="E30" i="4"/>
  <c r="E10" i="4"/>
  <c r="E5" i="4"/>
  <c r="E4" i="4"/>
  <c r="E8" i="4"/>
  <c r="E27" i="4"/>
  <c r="E26" i="4"/>
  <c r="E24" i="4"/>
  <c r="E23" i="4"/>
  <c r="E25" i="4"/>
  <c r="D31" i="4"/>
  <c r="C94" i="4" s="1"/>
  <c r="D30" i="4"/>
  <c r="C92" i="4" s="1"/>
  <c r="D10" i="4"/>
  <c r="C83" i="4" s="1"/>
  <c r="D5" i="4"/>
  <c r="C80" i="4" s="1"/>
  <c r="D4" i="4"/>
  <c r="C105" i="4" s="1"/>
  <c r="D8" i="4"/>
  <c r="C84" i="4" s="1"/>
  <c r="D27" i="4"/>
  <c r="C76" i="4" s="1"/>
  <c r="D26" i="4"/>
  <c r="C81" i="4" s="1"/>
  <c r="D24" i="4"/>
  <c r="C69" i="4" s="1"/>
  <c r="D23" i="4"/>
  <c r="C71" i="4" s="1"/>
  <c r="D25" i="4"/>
  <c r="C89" i="4" s="1"/>
  <c r="H7" i="4"/>
  <c r="H6" i="4"/>
  <c r="H12" i="4"/>
  <c r="H32" i="4"/>
  <c r="H29" i="4"/>
  <c r="H41" i="4"/>
  <c r="E17" i="4"/>
  <c r="E7" i="4"/>
  <c r="E6" i="4"/>
  <c r="E12" i="4"/>
  <c r="E11" i="4"/>
  <c r="E33" i="4"/>
  <c r="E32" i="4"/>
  <c r="E29" i="4"/>
  <c r="E42" i="4"/>
  <c r="E41" i="4"/>
  <c r="D17" i="4"/>
  <c r="C86" i="4" s="1"/>
  <c r="D7" i="4"/>
  <c r="C96" i="4" s="1"/>
  <c r="D6" i="4"/>
  <c r="C98" i="4" s="1"/>
  <c r="D12" i="4"/>
  <c r="C82" i="4" s="1"/>
  <c r="D11" i="4"/>
  <c r="C77" i="4" s="1"/>
  <c r="D33" i="4"/>
  <c r="C91" i="4" s="1"/>
  <c r="D32" i="4"/>
  <c r="C88" i="4" s="1"/>
  <c r="D29" i="4"/>
  <c r="C73" i="4" s="1"/>
  <c r="D42" i="4"/>
  <c r="C95" i="4" s="1"/>
  <c r="D41" i="4"/>
  <c r="C90" i="4" s="1"/>
  <c r="M14" i="20" l="1"/>
  <c r="N16" i="20" s="1"/>
  <c r="N18" i="20" s="1"/>
  <c r="E43" i="4"/>
  <c r="J43" i="4" s="1"/>
  <c r="E44" i="4"/>
  <c r="M2" i="11"/>
  <c r="M2" i="4"/>
  <c r="E37" i="4"/>
  <c r="M3" i="11"/>
  <c r="M3" i="4"/>
  <c r="C109" i="4"/>
  <c r="M4" i="4"/>
  <c r="M10" i="5"/>
  <c r="E51" i="4" s="1"/>
  <c r="M10" i="6"/>
  <c r="E50" i="4" s="1"/>
  <c r="L50" i="1"/>
  <c r="M10" i="7"/>
  <c r="K41" i="1"/>
  <c r="H6" i="1"/>
  <c r="H27" i="1"/>
  <c r="H41" i="1"/>
  <c r="K27" i="1"/>
  <c r="L54" i="1"/>
  <c r="L44" i="1"/>
  <c r="H47" i="1"/>
  <c r="H44" i="1"/>
  <c r="I37" i="4"/>
  <c r="L9" i="1"/>
  <c r="L28" i="1"/>
  <c r="K47" i="1"/>
  <c r="K18" i="1"/>
  <c r="L13" i="1"/>
  <c r="L35" i="1"/>
  <c r="H49" i="1"/>
  <c r="H13" i="1"/>
  <c r="K8" i="1"/>
  <c r="H18" i="1"/>
  <c r="H37" i="1"/>
  <c r="K37" i="1"/>
  <c r="Q25" i="1" s="1"/>
  <c r="L19" i="1"/>
  <c r="L39" i="1"/>
  <c r="H24" i="1"/>
  <c r="L24" i="1"/>
  <c r="L40" i="1"/>
  <c r="H11" i="1"/>
  <c r="K13" i="1"/>
  <c r="H28" i="1"/>
  <c r="H35" i="1"/>
  <c r="K35" i="1"/>
  <c r="Q24" i="1" s="1"/>
  <c r="L8" i="1"/>
  <c r="L12" i="1"/>
  <c r="L18" i="1"/>
  <c r="L23" i="1"/>
  <c r="L27" i="1"/>
  <c r="L34" i="1"/>
  <c r="L38" i="1"/>
  <c r="K46" i="1"/>
  <c r="K53" i="1"/>
  <c r="Q27" i="1" s="1"/>
  <c r="K22" i="1"/>
  <c r="Q22" i="1" s="1"/>
  <c r="L47" i="1"/>
  <c r="E19" i="4"/>
  <c r="F19" i="4" s="1"/>
  <c r="L51" i="1"/>
  <c r="E13" i="4"/>
  <c r="J13" i="4" s="1"/>
  <c r="H8" i="1"/>
  <c r="H15" i="1"/>
  <c r="K6" i="1"/>
  <c r="Q17" i="1" s="1"/>
  <c r="H42" i="4"/>
  <c r="I41" i="4" s="1"/>
  <c r="K11" i="1"/>
  <c r="H11" i="4"/>
  <c r="I11" i="4" s="1"/>
  <c r="K15" i="1"/>
  <c r="H17" i="4"/>
  <c r="I17" i="4" s="1"/>
  <c r="H22" i="1"/>
  <c r="K25" i="1"/>
  <c r="K21" i="1"/>
  <c r="H39" i="1"/>
  <c r="K39" i="1"/>
  <c r="L6" i="1"/>
  <c r="L10" i="1"/>
  <c r="L14" i="1"/>
  <c r="L21" i="1"/>
  <c r="L25" i="1"/>
  <c r="L29" i="1"/>
  <c r="L36" i="1"/>
  <c r="L41" i="1"/>
  <c r="L48" i="1"/>
  <c r="D20" i="4"/>
  <c r="C74" i="4" s="1"/>
  <c r="L52" i="1"/>
  <c r="D14" i="4"/>
  <c r="H45" i="1"/>
  <c r="H51" i="1"/>
  <c r="K44" i="1"/>
  <c r="Q28" i="1" s="1"/>
  <c r="K49" i="1"/>
  <c r="K9" i="1"/>
  <c r="Q18" i="1" s="1"/>
  <c r="H33" i="4"/>
  <c r="H36" i="4" s="1"/>
  <c r="H9" i="1"/>
  <c r="H21" i="1"/>
  <c r="H25" i="1"/>
  <c r="K28" i="1"/>
  <c r="Q21" i="1" s="1"/>
  <c r="K24" i="1"/>
  <c r="H33" i="1"/>
  <c r="H40" i="1"/>
  <c r="K33" i="1"/>
  <c r="K40" i="1"/>
  <c r="L7" i="1"/>
  <c r="L11" i="1"/>
  <c r="L15" i="1"/>
  <c r="L22" i="1"/>
  <c r="L26" i="1"/>
  <c r="L33" i="1"/>
  <c r="L37" i="1"/>
  <c r="L46" i="1"/>
  <c r="L45" i="1"/>
  <c r="D21" i="4"/>
  <c r="L49" i="1"/>
  <c r="D15" i="4"/>
  <c r="C79" i="4" s="1"/>
  <c r="L53" i="1"/>
  <c r="D39" i="4"/>
  <c r="H46" i="1"/>
  <c r="H53" i="1"/>
  <c r="K45" i="1"/>
  <c r="K51" i="1"/>
  <c r="D61" i="4"/>
  <c r="C60" i="4"/>
  <c r="C59" i="4"/>
  <c r="C58" i="4"/>
  <c r="C57" i="4"/>
  <c r="C56" i="4"/>
  <c r="C55" i="4"/>
  <c r="C54" i="4"/>
  <c r="C53" i="4"/>
  <c r="C52" i="4"/>
  <c r="C51" i="4"/>
  <c r="C50" i="4"/>
  <c r="C49" i="4"/>
  <c r="C45" i="4"/>
  <c r="F44" i="4"/>
  <c r="F42" i="4"/>
  <c r="J42" i="4"/>
  <c r="F40" i="4"/>
  <c r="I39" i="4"/>
  <c r="F39" i="4"/>
  <c r="H63" i="4"/>
  <c r="F38" i="4"/>
  <c r="J38" i="4"/>
  <c r="C36" i="4"/>
  <c r="F35" i="4"/>
  <c r="J35" i="4"/>
  <c r="I34" i="4"/>
  <c r="H61" i="4"/>
  <c r="J34" i="4"/>
  <c r="F33" i="4"/>
  <c r="H60" i="4"/>
  <c r="F31" i="4"/>
  <c r="J31" i="4"/>
  <c r="I30" i="4"/>
  <c r="H59" i="4"/>
  <c r="I29" i="4"/>
  <c r="H58" i="4"/>
  <c r="I28" i="4"/>
  <c r="H57" i="4"/>
  <c r="J28" i="4"/>
  <c r="F27" i="4"/>
  <c r="I26" i="4"/>
  <c r="H56" i="4"/>
  <c r="I25" i="4"/>
  <c r="F25" i="4"/>
  <c r="H55" i="4"/>
  <c r="J25" i="4"/>
  <c r="I24" i="4"/>
  <c r="H54" i="4"/>
  <c r="I23" i="4"/>
  <c r="F23" i="4"/>
  <c r="H53" i="4"/>
  <c r="I22" i="4"/>
  <c r="H52" i="4"/>
  <c r="I21" i="4"/>
  <c r="F21" i="4"/>
  <c r="H51" i="4"/>
  <c r="I20" i="4"/>
  <c r="F20" i="4"/>
  <c r="C18" i="4"/>
  <c r="J17" i="4"/>
  <c r="I16" i="4"/>
  <c r="F16" i="4"/>
  <c r="J16" i="4"/>
  <c r="I15" i="4"/>
  <c r="I14" i="4"/>
  <c r="F14" i="4"/>
  <c r="I13" i="4"/>
  <c r="I12" i="4"/>
  <c r="F12" i="4"/>
  <c r="J12" i="4"/>
  <c r="J11" i="4"/>
  <c r="I10" i="4"/>
  <c r="J10" i="4"/>
  <c r="I9" i="4"/>
  <c r="J9" i="4"/>
  <c r="I8" i="4"/>
  <c r="F8" i="4"/>
  <c r="J8" i="4"/>
  <c r="I7" i="4"/>
  <c r="F7" i="4"/>
  <c r="J7" i="4"/>
  <c r="F6" i="4"/>
  <c r="J6" i="4"/>
  <c r="J5" i="4"/>
  <c r="I5" i="4"/>
  <c r="F5" i="4"/>
  <c r="I4" i="4"/>
  <c r="F4" i="4"/>
  <c r="I3" i="4"/>
  <c r="F3" i="4"/>
  <c r="J3" i="4"/>
  <c r="I2" i="4"/>
  <c r="I55" i="1"/>
  <c r="E55" i="1"/>
  <c r="J55" i="1"/>
  <c r="G55" i="1"/>
  <c r="F55" i="1"/>
  <c r="I42" i="1"/>
  <c r="E42" i="1"/>
  <c r="J42" i="1"/>
  <c r="G42" i="1"/>
  <c r="F42" i="1"/>
  <c r="J30" i="1"/>
  <c r="F30" i="1"/>
  <c r="I30" i="1"/>
  <c r="E30" i="1"/>
  <c r="J16" i="1"/>
  <c r="I16" i="1"/>
  <c r="G16" i="1"/>
  <c r="F16" i="1"/>
  <c r="E16" i="1"/>
  <c r="C46" i="4" l="1"/>
  <c r="E49" i="20"/>
  <c r="E49" i="4"/>
  <c r="M14" i="4"/>
  <c r="N16" i="4" s="1"/>
  <c r="N18" i="4" s="1"/>
  <c r="E45" i="4"/>
  <c r="E51" i="20"/>
  <c r="E50" i="20"/>
  <c r="E51" i="11"/>
  <c r="L30" i="1"/>
  <c r="M14" i="11"/>
  <c r="N16" i="11" s="1"/>
  <c r="N18" i="11" s="1"/>
  <c r="L16" i="1"/>
  <c r="E49" i="11"/>
  <c r="E50" i="11"/>
  <c r="J21" i="4"/>
  <c r="C75" i="4"/>
  <c r="J14" i="4"/>
  <c r="C99" i="4"/>
  <c r="J39" i="4"/>
  <c r="C100" i="4"/>
  <c r="H49" i="4"/>
  <c r="H16" i="1"/>
  <c r="Q16" i="1" s="1"/>
  <c r="K30" i="1"/>
  <c r="K16" i="1"/>
  <c r="J56" i="1"/>
  <c r="D36" i="4"/>
  <c r="I32" i="4"/>
  <c r="H55" i="1"/>
  <c r="Q26" i="1" s="1"/>
  <c r="L55" i="1"/>
  <c r="K55" i="1"/>
  <c r="H30" i="1"/>
  <c r="Q19" i="1" s="1"/>
  <c r="H42" i="1"/>
  <c r="Q23" i="1" s="1"/>
  <c r="K42" i="1"/>
  <c r="L42" i="1"/>
  <c r="F56" i="1"/>
  <c r="I56" i="1"/>
  <c r="I31" i="1"/>
  <c r="E31" i="1"/>
  <c r="J4" i="4"/>
  <c r="J37" i="4"/>
  <c r="F2" i="4"/>
  <c r="J15" i="4"/>
  <c r="H50" i="4"/>
  <c r="I19" i="4"/>
  <c r="J20" i="4"/>
  <c r="F24" i="4"/>
  <c r="J24" i="4"/>
  <c r="J27" i="4"/>
  <c r="F30" i="4"/>
  <c r="J30" i="4"/>
  <c r="J33" i="4"/>
  <c r="F37" i="4"/>
  <c r="H65" i="4"/>
  <c r="G18" i="4"/>
  <c r="I6" i="4"/>
  <c r="I18" i="4" s="1"/>
  <c r="F9" i="4"/>
  <c r="F10" i="4"/>
  <c r="F11" i="4"/>
  <c r="F13" i="4"/>
  <c r="F17" i="4"/>
  <c r="J19" i="4"/>
  <c r="J23" i="4"/>
  <c r="G45" i="4"/>
  <c r="J40" i="4"/>
  <c r="H62" i="4"/>
  <c r="C61" i="4"/>
  <c r="G36" i="4"/>
  <c r="F28" i="4"/>
  <c r="D45" i="4"/>
  <c r="H45" i="4"/>
  <c r="H64" i="4"/>
  <c r="I43" i="4"/>
  <c r="I45" i="4" s="1"/>
  <c r="F15" i="4"/>
  <c r="F22" i="4"/>
  <c r="J22" i="4"/>
  <c r="F26" i="4"/>
  <c r="J26" i="4"/>
  <c r="F29" i="4"/>
  <c r="J29" i="4"/>
  <c r="F32" i="4"/>
  <c r="J32" i="4"/>
  <c r="F41" i="4"/>
  <c r="J41" i="4"/>
  <c r="D18" i="4"/>
  <c r="H18" i="4"/>
  <c r="F34" i="4"/>
  <c r="F43" i="4"/>
  <c r="E18" i="4"/>
  <c r="E36" i="4"/>
  <c r="J2" i="4"/>
  <c r="J44" i="4"/>
  <c r="J31" i="1"/>
  <c r="F31" i="1"/>
  <c r="Q11" i="1"/>
  <c r="G56" i="1"/>
  <c r="Q8" i="1" s="1"/>
  <c r="Q13" i="1"/>
  <c r="E56" i="1"/>
  <c r="Q14" i="1"/>
  <c r="G30" i="1"/>
  <c r="G31" i="1" s="1"/>
  <c r="Q7" i="1" s="1"/>
  <c r="E57" i="1" l="1"/>
  <c r="B63" i="4"/>
  <c r="C63" i="4"/>
  <c r="E61" i="11"/>
  <c r="E61" i="20"/>
  <c r="E61" i="4"/>
  <c r="H31" i="1"/>
  <c r="L31" i="1"/>
  <c r="I36" i="4"/>
  <c r="I46" i="4" s="1"/>
  <c r="K31" i="1"/>
  <c r="H56" i="1"/>
  <c r="J57" i="1"/>
  <c r="L56" i="1"/>
  <c r="K56" i="1"/>
  <c r="F57" i="1"/>
  <c r="H46" i="4"/>
  <c r="H66" i="4"/>
  <c r="G46" i="4"/>
  <c r="F45" i="4"/>
  <c r="F18" i="4"/>
  <c r="D46" i="4"/>
  <c r="E63" i="4"/>
  <c r="I57" i="1"/>
  <c r="F36" i="4"/>
  <c r="J18" i="4"/>
  <c r="J45" i="4"/>
  <c r="J36" i="4"/>
  <c r="D63" i="4"/>
  <c r="E46" i="4"/>
  <c r="Q12" i="1"/>
  <c r="G57" i="1"/>
  <c r="G66" i="1" l="1"/>
  <c r="G58" i="1"/>
  <c r="M20" i="1"/>
  <c r="D47" i="11"/>
  <c r="F58" i="1"/>
  <c r="J58" i="1"/>
  <c r="G47" i="11"/>
  <c r="I58" i="1"/>
  <c r="H57" i="1"/>
  <c r="H58" i="1" s="1"/>
  <c r="J64" i="1"/>
  <c r="H47" i="11"/>
  <c r="E47" i="11"/>
  <c r="M37" i="1"/>
  <c r="M35" i="1"/>
  <c r="M36" i="1"/>
  <c r="I68" i="1"/>
  <c r="K57" i="1"/>
  <c r="K58" i="1" s="1"/>
  <c r="D47" i="4"/>
  <c r="L57" i="1"/>
  <c r="J47" i="11" s="1"/>
  <c r="H47" i="4"/>
  <c r="E47" i="4"/>
  <c r="G47" i="4"/>
  <c r="G64" i="1"/>
  <c r="I64" i="1"/>
  <c r="F46" i="4"/>
  <c r="J46" i="4"/>
  <c r="M49" i="1"/>
  <c r="M21" i="1"/>
  <c r="M6" i="1"/>
  <c r="M15" i="1"/>
  <c r="M53" i="1"/>
  <c r="M51" i="1"/>
  <c r="M47" i="1"/>
  <c r="M8" i="1"/>
  <c r="M23" i="1"/>
  <c r="M41" i="1"/>
  <c r="M7" i="1"/>
  <c r="M22" i="1"/>
  <c r="M27" i="1"/>
  <c r="M50" i="1"/>
  <c r="M10" i="1"/>
  <c r="M11" i="1"/>
  <c r="M9" i="1"/>
  <c r="M25" i="1"/>
  <c r="M46" i="1"/>
  <c r="M52" i="1"/>
  <c r="M38" i="1"/>
  <c r="M28" i="1"/>
  <c r="M39" i="1"/>
  <c r="M54" i="1"/>
  <c r="M14" i="1"/>
  <c r="M19" i="1"/>
  <c r="M12" i="1"/>
  <c r="M13" i="1"/>
  <c r="M26" i="1"/>
  <c r="M34" i="1"/>
  <c r="M48" i="1"/>
  <c r="M29" i="1"/>
  <c r="M40" i="1"/>
  <c r="M18" i="1"/>
  <c r="M33" i="1"/>
  <c r="M24" i="1"/>
  <c r="M45" i="1"/>
  <c r="M44" i="1"/>
  <c r="M16" i="1" l="1"/>
  <c r="R28" i="1"/>
  <c r="M55" i="1"/>
  <c r="M42" i="1"/>
  <c r="M56" i="1" s="1"/>
  <c r="M30" i="1"/>
  <c r="M31" i="1" s="1"/>
  <c r="R7" i="1" s="1"/>
  <c r="H64" i="1"/>
  <c r="R27" i="1"/>
  <c r="R18" i="1"/>
  <c r="R12" i="1"/>
  <c r="R19" i="1"/>
  <c r="R17" i="1"/>
  <c r="R24" i="1"/>
  <c r="R14" i="1"/>
  <c r="R26" i="1"/>
  <c r="R11" i="1"/>
  <c r="R16" i="1"/>
  <c r="R13" i="1"/>
  <c r="R23" i="1"/>
  <c r="R25" i="1"/>
  <c r="R21" i="1"/>
  <c r="F47" i="11"/>
  <c r="F47" i="4"/>
  <c r="K64" i="1"/>
  <c r="I47" i="11"/>
  <c r="I47" i="4"/>
  <c r="J47" i="4"/>
  <c r="M57" i="1" l="1"/>
  <c r="R8" i="1"/>
  <c r="F23" i="19"/>
  <c r="F20" i="19"/>
  <c r="F24" i="19"/>
  <c r="F9" i="19"/>
  <c r="D12" i="20" s="1"/>
  <c r="C83" i="20" s="1"/>
  <c r="F8" i="19"/>
  <c r="D11" i="20" s="1"/>
  <c r="C78" i="20" s="1"/>
  <c r="F7" i="19"/>
  <c r="D33" i="20" s="1"/>
  <c r="C88" i="20" s="1"/>
  <c r="F6" i="19"/>
  <c r="D32" i="20" s="1"/>
  <c r="C85" i="20" s="1"/>
  <c r="F5" i="19"/>
  <c r="D29" i="20" s="1"/>
  <c r="C69" i="20" s="1"/>
  <c r="F4" i="19"/>
  <c r="D42" i="20" s="1"/>
  <c r="C91" i="20" s="1"/>
  <c r="F16" i="19" l="1"/>
  <c r="D23" i="20" s="1"/>
  <c r="F17" i="19"/>
  <c r="D24" i="20" s="1"/>
  <c r="F25" i="19"/>
  <c r="D31" i="20" s="1"/>
  <c r="F18" i="19"/>
  <c r="D26" i="20" s="1"/>
  <c r="F19" i="19"/>
  <c r="D27" i="20" s="1"/>
  <c r="F15" i="19"/>
  <c r="D10" i="20"/>
  <c r="F10" i="19"/>
  <c r="D6" i="20" s="1"/>
  <c r="C98" i="20" s="1"/>
  <c r="F21" i="19"/>
  <c r="F3" i="19"/>
  <c r="F12" i="19"/>
  <c r="D17" i="20" s="1"/>
  <c r="C77" i="20" s="1"/>
  <c r="F11" i="19"/>
  <c r="D7" i="20" s="1"/>
  <c r="C96" i="20" s="1"/>
  <c r="D30" i="20"/>
  <c r="D8" i="20"/>
  <c r="F22" i="19"/>
  <c r="C97" i="20" l="1"/>
  <c r="D5" i="20"/>
  <c r="C92" i="20"/>
  <c r="C73" i="20"/>
  <c r="G12" i="19"/>
  <c r="D4" i="20"/>
  <c r="G5" i="19"/>
  <c r="G9" i="19"/>
  <c r="C74" i="20"/>
  <c r="G10" i="19"/>
  <c r="G3" i="19"/>
  <c r="J4" i="19"/>
  <c r="H42" i="20" s="1"/>
  <c r="G4" i="19"/>
  <c r="M6" i="17"/>
  <c r="J8" i="19"/>
  <c r="G8" i="19"/>
  <c r="D25" i="20"/>
  <c r="F26" i="19"/>
  <c r="D41" i="20"/>
  <c r="F13" i="19"/>
  <c r="C70" i="20"/>
  <c r="C82" i="20"/>
  <c r="J11" i="19"/>
  <c r="H7" i="20" s="1"/>
  <c r="G11" i="19"/>
  <c r="J7" i="19"/>
  <c r="H33" i="20" s="1"/>
  <c r="G7" i="19"/>
  <c r="G6" i="19"/>
  <c r="C102" i="20"/>
  <c r="C80" i="20"/>
  <c r="M7" i="17"/>
  <c r="F27" i="19" l="1"/>
  <c r="F53" i="19" s="1"/>
  <c r="H11" i="20"/>
  <c r="E29" i="20"/>
  <c r="L5" i="19"/>
  <c r="H5" i="19"/>
  <c r="C106" i="20"/>
  <c r="C93" i="20"/>
  <c r="E12" i="20"/>
  <c r="J12" i="20" s="1"/>
  <c r="L9" i="19"/>
  <c r="C105" i="20"/>
  <c r="D18" i="20"/>
  <c r="J6" i="19"/>
  <c r="E7" i="20"/>
  <c r="J7" i="20" s="1"/>
  <c r="L11" i="19"/>
  <c r="C90" i="20"/>
  <c r="D45" i="20"/>
  <c r="E11" i="20"/>
  <c r="H8" i="19"/>
  <c r="L8" i="19"/>
  <c r="M10" i="17"/>
  <c r="J10" i="19"/>
  <c r="E17" i="20"/>
  <c r="H12" i="19"/>
  <c r="L12" i="19"/>
  <c r="D36" i="20"/>
  <c r="H6" i="19"/>
  <c r="L6" i="19"/>
  <c r="E32" i="20"/>
  <c r="E33" i="20"/>
  <c r="J33" i="20" s="1"/>
  <c r="L7" i="19"/>
  <c r="E42" i="20"/>
  <c r="J42" i="20" s="1"/>
  <c r="L4" i="19"/>
  <c r="E41" i="20"/>
  <c r="H3" i="19"/>
  <c r="L3" i="19"/>
  <c r="G13" i="19"/>
  <c r="E6" i="20"/>
  <c r="H10" i="19"/>
  <c r="L10" i="19"/>
  <c r="J9" i="19"/>
  <c r="H12" i="20" s="1"/>
  <c r="J5" i="19"/>
  <c r="J12" i="19"/>
  <c r="E63" i="20" l="1"/>
  <c r="H13" i="19"/>
  <c r="J17" i="20"/>
  <c r="F17" i="20"/>
  <c r="F11" i="20"/>
  <c r="J11" i="20"/>
  <c r="K5" i="19"/>
  <c r="H29" i="20"/>
  <c r="F41" i="20"/>
  <c r="J41" i="20"/>
  <c r="H49" i="20"/>
  <c r="F32" i="20"/>
  <c r="J32" i="20"/>
  <c r="H55" i="20"/>
  <c r="H6" i="20"/>
  <c r="K10" i="19"/>
  <c r="B63" i="20"/>
  <c r="D46" i="20"/>
  <c r="D47" i="20" s="1"/>
  <c r="H58" i="20"/>
  <c r="F29" i="20"/>
  <c r="J29" i="20"/>
  <c r="J6" i="20"/>
  <c r="F6" i="20"/>
  <c r="K8" i="19"/>
  <c r="Q8" i="19"/>
  <c r="H32" i="20"/>
  <c r="I32" i="20" s="1"/>
  <c r="K6" i="19"/>
  <c r="C63" i="20"/>
  <c r="H17" i="20"/>
  <c r="I17" i="20" s="1"/>
  <c r="K12" i="19"/>
  <c r="L13" i="19"/>
  <c r="D63" i="20"/>
  <c r="I11" i="20"/>
  <c r="I6" i="20" l="1"/>
  <c r="I29" i="20"/>
  <c r="F54" i="19"/>
  <c r="J32" i="19"/>
  <c r="H44" i="20" s="1"/>
  <c r="J44" i="19"/>
  <c r="H20" i="20" s="1"/>
  <c r="J42" i="19"/>
  <c r="J34" i="19"/>
  <c r="H38" i="20" s="1"/>
  <c r="J37" i="19"/>
  <c r="K37" i="19" s="1"/>
  <c r="J46" i="19"/>
  <c r="H16" i="20" s="1"/>
  <c r="G37" i="19"/>
  <c r="G44" i="19"/>
  <c r="L44" i="19" s="1"/>
  <c r="J30" i="19"/>
  <c r="H35" i="20" s="1"/>
  <c r="G41" i="19"/>
  <c r="L41" i="19" s="1"/>
  <c r="G32" i="19"/>
  <c r="L32" i="19" s="1"/>
  <c r="G31" i="19"/>
  <c r="G50" i="19"/>
  <c r="J50" i="19"/>
  <c r="H40" i="20" s="1"/>
  <c r="J40" i="19"/>
  <c r="H28" i="20" s="1"/>
  <c r="I28" i="20" s="1"/>
  <c r="G46" i="19"/>
  <c r="G45" i="19"/>
  <c r="L45" i="19" s="1"/>
  <c r="G34" i="19"/>
  <c r="G40" i="19"/>
  <c r="G43" i="19"/>
  <c r="J43" i="19"/>
  <c r="G33" i="19"/>
  <c r="G29" i="19"/>
  <c r="L29" i="19" s="1"/>
  <c r="G35" i="19"/>
  <c r="L35" i="19" s="1"/>
  <c r="G49" i="19"/>
  <c r="G30" i="19"/>
  <c r="G42" i="19"/>
  <c r="E3" i="20" l="1"/>
  <c r="J3" i="20" s="1"/>
  <c r="J49" i="19"/>
  <c r="K49" i="19" s="1"/>
  <c r="H9" i="20"/>
  <c r="I9" i="20" s="1"/>
  <c r="H22" i="20"/>
  <c r="I22" i="20" s="1"/>
  <c r="K42" i="19"/>
  <c r="E44" i="20"/>
  <c r="J44" i="20" s="1"/>
  <c r="H35" i="19"/>
  <c r="G38" i="19"/>
  <c r="L31" i="19"/>
  <c r="E43" i="20"/>
  <c r="H31" i="19"/>
  <c r="E16" i="20"/>
  <c r="J16" i="20" s="1"/>
  <c r="K40" i="19"/>
  <c r="J31" i="19"/>
  <c r="H42" i="19"/>
  <c r="L42" i="19"/>
  <c r="H33" i="19"/>
  <c r="L33" i="19"/>
  <c r="E37" i="20"/>
  <c r="H29" i="19"/>
  <c r="E38" i="20"/>
  <c r="J38" i="20" s="1"/>
  <c r="L34" i="19"/>
  <c r="J35" i="19"/>
  <c r="L46" i="19"/>
  <c r="E22" i="20"/>
  <c r="L30" i="19"/>
  <c r="H49" i="19"/>
  <c r="E39" i="20"/>
  <c r="H43" i="19"/>
  <c r="L43" i="19"/>
  <c r="E19" i="20"/>
  <c r="H40" i="19"/>
  <c r="E28" i="20"/>
  <c r="G51" i="19"/>
  <c r="L40" i="19"/>
  <c r="L49" i="19"/>
  <c r="K43" i="19"/>
  <c r="H19" i="20"/>
  <c r="E34" i="20"/>
  <c r="E35" i="20"/>
  <c r="J35" i="20" s="1"/>
  <c r="J29" i="19"/>
  <c r="E40" i="20"/>
  <c r="J40" i="20" s="1"/>
  <c r="L50" i="19"/>
  <c r="J33" i="19"/>
  <c r="H37" i="19"/>
  <c r="E9" i="20"/>
  <c r="L37" i="19"/>
  <c r="H45" i="19"/>
  <c r="E21" i="20"/>
  <c r="H41" i="19"/>
  <c r="E15" i="20"/>
  <c r="J45" i="19"/>
  <c r="J41" i="19"/>
  <c r="E20" i="20"/>
  <c r="J20" i="20" s="1"/>
  <c r="F3" i="20" l="1"/>
  <c r="H39" i="20"/>
  <c r="I39" i="20" s="1"/>
  <c r="L51" i="19"/>
  <c r="J51" i="19"/>
  <c r="L38" i="19"/>
  <c r="K33" i="19"/>
  <c r="H37" i="20"/>
  <c r="I19" i="20"/>
  <c r="H51" i="19"/>
  <c r="J21" i="20"/>
  <c r="F21" i="20"/>
  <c r="H63" i="20"/>
  <c r="J39" i="20"/>
  <c r="H52" i="20"/>
  <c r="F39" i="20"/>
  <c r="K35" i="19"/>
  <c r="H3" i="20"/>
  <c r="H34" i="20"/>
  <c r="I34" i="20" s="1"/>
  <c r="J38" i="19"/>
  <c r="K29" i="19"/>
  <c r="Q11" i="19"/>
  <c r="J19" i="20"/>
  <c r="F19" i="20"/>
  <c r="H62" i="20"/>
  <c r="E45" i="20"/>
  <c r="H50" i="20"/>
  <c r="J37" i="20"/>
  <c r="F37" i="20"/>
  <c r="K41" i="19"/>
  <c r="H21" i="20"/>
  <c r="I21" i="20" s="1"/>
  <c r="F15" i="20"/>
  <c r="J15" i="20"/>
  <c r="J9" i="20"/>
  <c r="F9" i="20"/>
  <c r="F22" i="20"/>
  <c r="H65" i="20"/>
  <c r="J22" i="20"/>
  <c r="J43" i="20"/>
  <c r="H51" i="20"/>
  <c r="F43" i="20"/>
  <c r="K45" i="19"/>
  <c r="H15" i="20"/>
  <c r="I15" i="20" s="1"/>
  <c r="J34" i="20"/>
  <c r="F34" i="20"/>
  <c r="H56" i="20"/>
  <c r="J28" i="20"/>
  <c r="F28" i="20"/>
  <c r="H60" i="20"/>
  <c r="H38" i="19"/>
  <c r="K31" i="19"/>
  <c r="H43" i="20"/>
  <c r="I43" i="20" s="1"/>
  <c r="Q10" i="19"/>
  <c r="G52" i="19"/>
  <c r="H52" i="19" l="1"/>
  <c r="J52" i="19"/>
  <c r="K51" i="19"/>
  <c r="L52" i="19"/>
  <c r="I37" i="20"/>
  <c r="J45" i="20"/>
  <c r="K38" i="19"/>
  <c r="Q5" i="19"/>
  <c r="I3" i="20"/>
  <c r="F45" i="20"/>
  <c r="J25" i="19"/>
  <c r="H31" i="20" s="1"/>
  <c r="G23" i="19"/>
  <c r="E10" i="20" s="1"/>
  <c r="J17" i="19"/>
  <c r="J19" i="19"/>
  <c r="H27" i="20" s="1"/>
  <c r="G24" i="19"/>
  <c r="E30" i="20" s="1"/>
  <c r="J30" i="20" s="1"/>
  <c r="G25" i="19"/>
  <c r="L25" i="19" s="1"/>
  <c r="G17" i="19"/>
  <c r="E24" i="20" s="1"/>
  <c r="G20" i="19"/>
  <c r="E8" i="20" s="1"/>
  <c r="G21" i="19"/>
  <c r="G18" i="19"/>
  <c r="G19" i="19"/>
  <c r="E27" i="20" s="1"/>
  <c r="J27" i="20" s="1"/>
  <c r="J22" i="19"/>
  <c r="H5" i="20" s="1"/>
  <c r="G22" i="19"/>
  <c r="L22" i="19" s="1"/>
  <c r="K52" i="19" l="1"/>
  <c r="J23" i="19"/>
  <c r="H10" i="20" s="1"/>
  <c r="I10" i="20" s="1"/>
  <c r="H21" i="19"/>
  <c r="E4" i="20"/>
  <c r="J4" i="20" s="1"/>
  <c r="H18" i="19"/>
  <c r="E26" i="20"/>
  <c r="J26" i="20" s="1"/>
  <c r="H24" i="19"/>
  <c r="J10" i="20"/>
  <c r="F10" i="20"/>
  <c r="H24" i="20"/>
  <c r="I24" i="20" s="1"/>
  <c r="K17" i="19"/>
  <c r="F24" i="20"/>
  <c r="H59" i="20"/>
  <c r="J24" i="20"/>
  <c r="J8" i="20"/>
  <c r="F8" i="20"/>
  <c r="J21" i="19"/>
  <c r="J18" i="19"/>
  <c r="J24" i="19"/>
  <c r="L18" i="19"/>
  <c r="L19" i="19"/>
  <c r="L21" i="19"/>
  <c r="L24" i="19"/>
  <c r="H23" i="19"/>
  <c r="L17" i="19"/>
  <c r="E5" i="20"/>
  <c r="J5" i="20" s="1"/>
  <c r="L20" i="19"/>
  <c r="H17" i="19"/>
  <c r="J20" i="19"/>
  <c r="E31" i="20"/>
  <c r="J31" i="20" s="1"/>
  <c r="H20" i="19"/>
  <c r="L23" i="19"/>
  <c r="K23" i="19" l="1"/>
  <c r="F26" i="20"/>
  <c r="H53" i="20"/>
  <c r="H61" i="20"/>
  <c r="J18" i="20"/>
  <c r="H8" i="20"/>
  <c r="I8" i="20" s="1"/>
  <c r="K20" i="19"/>
  <c r="K24" i="19"/>
  <c r="H30" i="20"/>
  <c r="I30" i="20" s="1"/>
  <c r="H54" i="20"/>
  <c r="F30" i="20"/>
  <c r="H26" i="20"/>
  <c r="I26" i="20" s="1"/>
  <c r="K18" i="19"/>
  <c r="E18" i="20"/>
  <c r="F4" i="20"/>
  <c r="F18" i="20" s="1"/>
  <c r="K21" i="19"/>
  <c r="H4" i="20"/>
  <c r="I4" i="20" l="1"/>
  <c r="I18" i="20" s="1"/>
  <c r="H18" i="20"/>
  <c r="G16" i="19"/>
  <c r="E23" i="20" s="1"/>
  <c r="L16" i="19" l="1"/>
  <c r="F23" i="20"/>
  <c r="H57" i="20"/>
  <c r="J23" i="20"/>
  <c r="H16" i="19"/>
  <c r="J16" i="19"/>
  <c r="K16" i="19" l="1"/>
  <c r="H23" i="20"/>
  <c r="I23" i="20" l="1"/>
  <c r="G15" i="19"/>
  <c r="H15" i="19" s="1"/>
  <c r="H26" i="19" s="1"/>
  <c r="H27" i="19" s="1"/>
  <c r="H53" i="19" s="1"/>
  <c r="J15" i="19" l="1"/>
  <c r="J26" i="19" s="1"/>
  <c r="E25" i="20"/>
  <c r="F25" i="20" s="1"/>
  <c r="F36" i="20" s="1"/>
  <c r="F46" i="20" s="1"/>
  <c r="F47" i="20" s="1"/>
  <c r="G26" i="19"/>
  <c r="L15" i="19"/>
  <c r="L26" i="19" s="1"/>
  <c r="L27" i="19" s="1"/>
  <c r="L53" i="19" s="1"/>
  <c r="K15" i="19" l="1"/>
  <c r="K26" i="19" s="1"/>
  <c r="H25" i="20"/>
  <c r="H36" i="20" s="1"/>
  <c r="J25" i="20"/>
  <c r="J36" i="20" s="1"/>
  <c r="J46" i="20" s="1"/>
  <c r="J47" i="20" s="1"/>
  <c r="H64" i="20"/>
  <c r="E36" i="20"/>
  <c r="E46" i="20" s="1"/>
  <c r="I54" i="20" s="1"/>
  <c r="Q9" i="19"/>
  <c r="G27" i="19"/>
  <c r="I25" i="20" l="1"/>
  <c r="I36" i="20" s="1"/>
  <c r="I50" i="20"/>
  <c r="I58" i="20"/>
  <c r="I49" i="20"/>
  <c r="I51" i="20"/>
  <c r="I53" i="20"/>
  <c r="I56" i="20"/>
  <c r="I57" i="20"/>
  <c r="I55" i="20"/>
  <c r="I52" i="20"/>
  <c r="Q4" i="19"/>
  <c r="G53" i="19"/>
  <c r="M27" i="19" l="1"/>
  <c r="R4" i="19" s="1"/>
  <c r="G55" i="19"/>
  <c r="M11" i="19"/>
  <c r="M20" i="19"/>
  <c r="M19" i="19"/>
  <c r="M44" i="19"/>
  <c r="M15" i="19"/>
  <c r="M5" i="19"/>
  <c r="M36" i="19"/>
  <c r="M33" i="19"/>
  <c r="M23" i="19"/>
  <c r="M24" i="19"/>
  <c r="M53" i="19"/>
  <c r="M22" i="19"/>
  <c r="M51" i="19"/>
  <c r="R11" i="19" s="1"/>
  <c r="M43" i="19"/>
  <c r="M47" i="19"/>
  <c r="M34" i="19"/>
  <c r="M52" i="19"/>
  <c r="R5" i="19" s="1"/>
  <c r="M6" i="19"/>
  <c r="M37" i="19"/>
  <c r="M18" i="19"/>
  <c r="M35" i="19"/>
  <c r="H54" i="19"/>
  <c r="M38" i="19"/>
  <c r="R10" i="19" s="1"/>
  <c r="M31" i="19"/>
  <c r="M13" i="19"/>
  <c r="R8" i="19" s="1"/>
  <c r="M12" i="19"/>
  <c r="M30" i="19"/>
  <c r="G54" i="19"/>
  <c r="M21" i="19"/>
  <c r="M7" i="19"/>
  <c r="M25" i="19"/>
  <c r="M41" i="19"/>
  <c r="M10" i="19"/>
  <c r="M50" i="19"/>
  <c r="M32" i="19"/>
  <c r="M17" i="19"/>
  <c r="M26" i="19"/>
  <c r="R9" i="19" s="1"/>
  <c r="M3" i="19"/>
  <c r="M46" i="19"/>
  <c r="M9" i="19"/>
  <c r="M45" i="19"/>
  <c r="M42" i="19"/>
  <c r="M8" i="19"/>
  <c r="M16" i="19"/>
  <c r="M40" i="19"/>
  <c r="E47" i="20"/>
  <c r="M49" i="19"/>
  <c r="M29" i="19"/>
  <c r="M48" i="19"/>
  <c r="M4" i="19"/>
  <c r="J3" i="19" l="1"/>
  <c r="K3" i="19" s="1"/>
  <c r="K13" i="19" s="1"/>
  <c r="K27" i="19" s="1"/>
  <c r="K53" i="19" s="1"/>
  <c r="I3" i="19"/>
  <c r="G41" i="20" l="1"/>
  <c r="G45" i="20" s="1"/>
  <c r="G46" i="20" s="1"/>
  <c r="I13" i="19"/>
  <c r="I27" i="19" s="1"/>
  <c r="I53" i="19" s="1"/>
  <c r="J13" i="19"/>
  <c r="J27" i="19" s="1"/>
  <c r="J53" i="19" s="1"/>
  <c r="H41" i="20"/>
  <c r="J54" i="19" l="1"/>
  <c r="J55" i="19"/>
  <c r="G47" i="20"/>
  <c r="I58" i="19"/>
  <c r="I54" i="19"/>
  <c r="I41" i="20"/>
  <c r="I45" i="20" s="1"/>
  <c r="I46" i="20" s="1"/>
  <c r="I47" i="20" s="1"/>
  <c r="H45" i="20"/>
  <c r="H46" i="20" s="1"/>
  <c r="H47" i="20" s="1"/>
  <c r="K54" i="19"/>
</calcChain>
</file>

<file path=xl/sharedStrings.xml><?xml version="1.0" encoding="utf-8"?>
<sst xmlns="http://schemas.openxmlformats.org/spreadsheetml/2006/main" count="1432" uniqueCount="191">
  <si>
    <t>Sector</t>
  </si>
  <si>
    <t>No.</t>
  </si>
  <si>
    <t>Unidades</t>
  </si>
  <si>
    <t>P.I. (MW)</t>
  </si>
  <si>
    <t>Horas de Operación</t>
  </si>
  <si>
    <t>Generado Bruto Por Unidad (KWH)</t>
  </si>
  <si>
    <t>Generado Bruto por central (KWH)</t>
  </si>
  <si>
    <t>Consumo Estación (KWH)</t>
  </si>
  <si>
    <t>Generado Neto por unidad (KWH)</t>
  </si>
  <si>
    <t>Generado Neto por central (KWH)</t>
  </si>
  <si>
    <t>Potencia Promedio (MW)</t>
  </si>
  <si>
    <t>Participación %</t>
  </si>
  <si>
    <t>SECTOR  NORTE</t>
  </si>
  <si>
    <t>Zona Norte</t>
  </si>
  <si>
    <t>Tavera I</t>
  </si>
  <si>
    <t>GWh</t>
  </si>
  <si>
    <t>%</t>
  </si>
  <si>
    <t>Tavera II</t>
  </si>
  <si>
    <t>Sector Hid. Norte</t>
  </si>
  <si>
    <t>Angostura</t>
  </si>
  <si>
    <t>Sector Hid. Sur</t>
  </si>
  <si>
    <t>Monción I</t>
  </si>
  <si>
    <t>Monción II</t>
  </si>
  <si>
    <t>Zona</t>
  </si>
  <si>
    <t>C. E. Monción I</t>
  </si>
  <si>
    <t>Norte</t>
  </si>
  <si>
    <t>C. E. Monción II</t>
  </si>
  <si>
    <t>Centro</t>
  </si>
  <si>
    <t>Baiguaque I</t>
  </si>
  <si>
    <t>Nizao</t>
  </si>
  <si>
    <t>Baiguaque II</t>
  </si>
  <si>
    <t>Sur</t>
  </si>
  <si>
    <t>Brazo Derecho</t>
  </si>
  <si>
    <t>Sub-Total</t>
  </si>
  <si>
    <t>Zona Centro</t>
  </si>
  <si>
    <t>Rincón</t>
  </si>
  <si>
    <t>Hatillo</t>
  </si>
  <si>
    <t>Jimenoa</t>
  </si>
  <si>
    <t>Rio Blanco I</t>
  </si>
  <si>
    <t>Rio Blanco II</t>
  </si>
  <si>
    <t>El  Salto</t>
  </si>
  <si>
    <t>Aniana Vargas I</t>
  </si>
  <si>
    <t>Aniana Vargas II</t>
  </si>
  <si>
    <t>Rosa J. De la Cruz</t>
  </si>
  <si>
    <t>Pinalito I</t>
  </si>
  <si>
    <t>Pinalito II</t>
  </si>
  <si>
    <t>Total Sector</t>
  </si>
  <si>
    <t>SECTOR  SUR</t>
  </si>
  <si>
    <t>Zona Nizao</t>
  </si>
  <si>
    <t xml:space="preserve">Valdesia I </t>
  </si>
  <si>
    <t>Valdesia II</t>
  </si>
  <si>
    <t>Jigüey  I</t>
  </si>
  <si>
    <t>Jigüey II</t>
  </si>
  <si>
    <t>Aguacate I</t>
  </si>
  <si>
    <t>Aguacate II</t>
  </si>
  <si>
    <t>Nizao Najayo</t>
  </si>
  <si>
    <t>Los Anones</t>
  </si>
  <si>
    <t>Las Barías</t>
  </si>
  <si>
    <t>Zona Sur</t>
  </si>
  <si>
    <t>Sabana Yegua</t>
  </si>
  <si>
    <t>Sabaneta</t>
  </si>
  <si>
    <t>Las Damas</t>
  </si>
  <si>
    <t>Los Toros I</t>
  </si>
  <si>
    <t>Los Toros II</t>
  </si>
  <si>
    <t>Dgo. Rguez. I</t>
  </si>
  <si>
    <t>Dgo. Rguez. II</t>
  </si>
  <si>
    <t>Magueyal I</t>
  </si>
  <si>
    <t>Magueyal II</t>
  </si>
  <si>
    <t>Palomino I</t>
  </si>
  <si>
    <t>Palomino II</t>
  </si>
  <si>
    <t>Total General</t>
  </si>
  <si>
    <t>%Cosumo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</si>
  <si>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</si>
  <si>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</si>
  <si>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</si>
  <si>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</si>
  <si>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</si>
  <si>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</si>
  <si>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</si>
  <si>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</si>
  <si>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</si>
  <si>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</si>
  <si>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</si>
  <si>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</si>
  <si>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</si>
  <si>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</si>
  <si>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Tiempo de operación</t>
  </si>
  <si>
    <t>Horas mes</t>
  </si>
  <si>
    <t>días mes</t>
  </si>
  <si>
    <t>Totales</t>
  </si>
  <si>
    <t>Centrales Pequeñas</t>
  </si>
  <si>
    <t>Los Toros</t>
  </si>
  <si>
    <t>Rio Blanco</t>
  </si>
  <si>
    <t>Pinalito</t>
  </si>
  <si>
    <t>Monción</t>
  </si>
  <si>
    <t>Valdesia</t>
  </si>
  <si>
    <t>Aguacate</t>
  </si>
  <si>
    <t>Palomino</t>
  </si>
  <si>
    <t>Tavera</t>
  </si>
  <si>
    <t>Jigüey</t>
  </si>
  <si>
    <t>Centrales Hidroeléctricas Pequeñas (0-4 MW)</t>
  </si>
  <si>
    <t>Centrales Hidroeléctricas Medianas (4-29 MW)</t>
  </si>
  <si>
    <t>Centrales Hidroeléctricas Grandes (30 ó más MW)</t>
  </si>
  <si>
    <t>PALOMINO I</t>
  </si>
  <si>
    <t>PALOMINO II</t>
  </si>
  <si>
    <t>Ejecutado (GWh)</t>
  </si>
  <si>
    <t>Proyectado (GWh)</t>
  </si>
  <si>
    <t>Horas trab. Por mes</t>
  </si>
  <si>
    <t>CENTRAL</t>
  </si>
  <si>
    <t xml:space="preserve"> LECTURA  GENERACION</t>
  </si>
  <si>
    <t>TOTAL</t>
  </si>
  <si>
    <t>CONSUMO</t>
  </si>
  <si>
    <t>POTENCIA PROMEDIO</t>
  </si>
  <si>
    <t>HORAS</t>
  </si>
  <si>
    <t>GENERADO</t>
  </si>
  <si>
    <t>BRUTO  POR</t>
  </si>
  <si>
    <t>ESTACION</t>
  </si>
  <si>
    <t>NETO  POR</t>
  </si>
  <si>
    <t>OPERACION</t>
  </si>
  <si>
    <t>ANTERIOR</t>
  </si>
  <si>
    <t>PRESENTE</t>
  </si>
  <si>
    <t>BRUTO / UNIDAD</t>
  </si>
  <si>
    <t xml:space="preserve">CENTRAL </t>
  </si>
  <si>
    <t>NETO / UNIDAD</t>
  </si>
  <si>
    <t>(KWH)</t>
  </si>
  <si>
    <t>(MW)</t>
  </si>
  <si>
    <t>SECTOR HIDRAULICO NORTE</t>
  </si>
  <si>
    <t>TAVERA - I I</t>
  </si>
  <si>
    <t>ANGOSTURA</t>
  </si>
  <si>
    <t>MONCION  - I</t>
  </si>
  <si>
    <t>MONCION  - II</t>
  </si>
  <si>
    <t>C. E. MONCION  - I</t>
  </si>
  <si>
    <t>C. E. MONCION  - I I</t>
  </si>
  <si>
    <t>BAIGUAQUE - I</t>
  </si>
  <si>
    <t>BAIGUAQUE - I I</t>
  </si>
  <si>
    <t>BRAZO DERECHO</t>
  </si>
  <si>
    <t>SUB-TOTAL SECTOR NORTE</t>
  </si>
  <si>
    <t>SECTOR HIDRAULICO CENTRO</t>
  </si>
  <si>
    <t>RINCON</t>
  </si>
  <si>
    <t>HATILLO</t>
  </si>
  <si>
    <t>JIMENOA</t>
  </si>
  <si>
    <t>RIO BLANCO - I</t>
  </si>
  <si>
    <t xml:space="preserve">RIO BLANCO - I I </t>
  </si>
  <si>
    <t>EL  SALTO</t>
  </si>
  <si>
    <t>ANIANA VARGAS I</t>
  </si>
  <si>
    <t>ANIANA VARGAS II</t>
  </si>
  <si>
    <t>ROSA JULIA DE LA CRUZ</t>
  </si>
  <si>
    <t>PINALITO I</t>
  </si>
  <si>
    <t>PINALITO II</t>
  </si>
  <si>
    <t>SUB-TOTAL SECTOR CENTRO</t>
  </si>
  <si>
    <t>SECTOR HIDRAULICO NIZAO</t>
  </si>
  <si>
    <t xml:space="preserve">VALDESIA - I </t>
  </si>
  <si>
    <t>VALDESIA - I I</t>
  </si>
  <si>
    <t>JIGUEY - I</t>
  </si>
  <si>
    <t>JIGUEY - I I</t>
  </si>
  <si>
    <t>AGUACATE - I</t>
  </si>
  <si>
    <t>AGUACATE - I I</t>
  </si>
  <si>
    <t>NIZAO NAJAYO</t>
  </si>
  <si>
    <t>LOS ANONES</t>
  </si>
  <si>
    <t>LAS BARIAS</t>
  </si>
  <si>
    <t>SUB-TOTAL SECTOR NIZAO</t>
  </si>
  <si>
    <t>SECTOR HIDRAULICO SUR</t>
  </si>
  <si>
    <t>SABANA YEGUA</t>
  </si>
  <si>
    <t>SABANETA</t>
  </si>
  <si>
    <t>LAS  DAMAS</t>
  </si>
  <si>
    <t>LOS TOROS I</t>
  </si>
  <si>
    <t>LOS TOROS II</t>
  </si>
  <si>
    <t>DOMINGO RODRIGUEZ I</t>
  </si>
  <si>
    <t>DOMINGO RODRIGUEZ II</t>
  </si>
  <si>
    <t>MAGUEYAL I</t>
  </si>
  <si>
    <t>MAGUEYAL II</t>
  </si>
  <si>
    <t>SUB-TOTAL  SECTOR  SUR</t>
  </si>
  <si>
    <t>TOTAL  GRAL.</t>
  </si>
  <si>
    <t>Total de Horas</t>
  </si>
  <si>
    <t>Horas de Op.</t>
  </si>
  <si>
    <t xml:space="preserve"> </t>
  </si>
  <si>
    <t>Cenrales</t>
  </si>
  <si>
    <t>Datos</t>
  </si>
  <si>
    <t xml:space="preserve">TAVERA - I </t>
  </si>
  <si>
    <t>EMPRESA DE GENERACION HIDROELECTRICA DOMINICANA</t>
  </si>
  <si>
    <t>Hatillo II</t>
  </si>
  <si>
    <t>Trimestre julio - septiembre 2021</t>
  </si>
  <si>
    <t>HATILLO - I</t>
  </si>
  <si>
    <t>HATILLO - II</t>
  </si>
  <si>
    <t>Hatillo I</t>
  </si>
  <si>
    <t>porcentaje</t>
  </si>
  <si>
    <t xml:space="preserve">BAIGUAQUE - I </t>
  </si>
  <si>
    <t>HATILLO - I I</t>
  </si>
  <si>
    <t>EL  SALTO DE CONSTANZA</t>
  </si>
  <si>
    <t>ANIANA VARGAS I I</t>
  </si>
  <si>
    <t xml:space="preserve">                                                                                                                                         Trismestre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</si>
</sst>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0.00"/>
    <numFmt numFmtId="165" formatCode="#,##0;[Red]#,##0"/>
    <numFmt numFmtId="166" formatCode="0.00;[Red]0.00"/>
    <numFmt numFmtId="167" formatCode="#,##0.00;[Red]#,##0.00"/>
    <numFmt numFmtId="168" formatCode="0.000"/>
    <numFmt numFmtId="169" formatCode="0.0000"/>
    <numFmt numFmtId="170" formatCode="0.00000"/>
    <numFmt numFmtId="171" formatCode="#,##0\ &quot;Horas&quot;"/>
    <numFmt numFmtId="172" formatCode="_(* #,##0_);_(* \(#,##0\);_(* \-??_);_(@_)"/>
    <numFmt numFmtId="173" formatCode="_(* #,##0_);_(* \(#,##0\);_(* \-_);_(@_)"/>
    <numFmt numFmtId="174" formatCode="#,##0;\-#,##0"/>
    <numFmt numFmtId="175" formatCode="#,##0;[Red]\-#,##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0"/>
      <name val="Arial"/>
      <family val="2"/>
    </font>
    <font>
      <sz val="11"/>
      <color rgb="FF000000"/>
      <name val="Calibri"/>
      <family val="2"/>
      <scheme val="minor"/>
    </font>
    <font>
      <sz val="7"/>
      <color rgb="FF000000"/>
      <name val="Plantagenet Cherokee"/>
      <family val="1"/>
    </font>
    <font>
      <b/>
      <sz val="7"/>
      <color rgb="FFFFFFFF"/>
      <name val="Plantagenet Cherokee"/>
      <family val="1"/>
    </font>
    <font>
      <sz val="7"/>
      <color rgb="FFFFFFFF"/>
      <name val="Plantagenet Cherokee"/>
      <family val="1"/>
    </font>
    <font>
      <b/>
      <sz val="7"/>
      <color rgb="FF000000"/>
      <name val="Plantagenet Cherokee"/>
      <family val="1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 MT"/>
    </font>
    <font>
      <b/>
      <i/>
      <sz val="12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b/>
      <sz val="12"/>
      <color theme="8"/>
      <name val="Calibri"/>
      <family val="2"/>
      <scheme val="minor"/>
    </font>
    <font>
      <b/>
      <sz val="7"/>
      <color theme="8"/>
      <name val="Arial"/>
      <family val="2"/>
    </font>
    <font>
      <b/>
      <sz val="11"/>
      <color theme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6"/>
      <color theme="8"/>
      <name val="Cambria"/>
      <family val="1"/>
    </font>
    <font>
      <b/>
      <sz val="16"/>
      <color indexed="2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</fills>
  <borders count="145">
    <border>
      <left/>
      <right/>
      <top/>
      <bottom/>
      <diagonal/>
    </border>
    <border>
      <left/>
      <right/>
      <top style="medium">
        <color rgb="FF92CDDC"/>
      </top>
      <bottom/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92CDDC"/>
      </left>
      <right style="medium">
        <color rgb="FFFFFFFF"/>
      </right>
      <top style="medium">
        <color rgb="FF92CDDC"/>
      </top>
      <bottom style="medium">
        <color rgb="FF92CDDC"/>
      </bottom>
      <diagonal/>
    </border>
    <border>
      <left/>
      <right style="medium">
        <color rgb="FFFFFFFF"/>
      </right>
      <top style="medium">
        <color rgb="FF92CDDC"/>
      </top>
      <bottom style="medium">
        <color rgb="FF92CDDC"/>
      </bottom>
      <diagonal/>
    </border>
    <border>
      <left/>
      <right/>
      <top style="medium">
        <color rgb="FF92CDDC"/>
      </top>
      <bottom style="medium">
        <color rgb="FF92CDDC"/>
      </bottom>
      <diagonal/>
    </border>
    <border>
      <left style="medium">
        <color rgb="FFFFFFFF"/>
      </left>
      <right/>
      <top style="medium">
        <color rgb="FF92CDDC"/>
      </top>
      <bottom style="medium">
        <color rgb="FF92CDDC"/>
      </bottom>
      <diagonal/>
    </border>
    <border>
      <left style="medium">
        <color rgb="FFFFFFFF"/>
      </left>
      <right style="medium">
        <color rgb="FF92CDDC"/>
      </right>
      <top style="medium">
        <color rgb="FF92CDDC"/>
      </top>
      <bottom style="medium">
        <color rgb="FF92CDDC"/>
      </bottom>
      <diagonal/>
    </border>
    <border>
      <left style="medium">
        <color rgb="FF92CDDC"/>
      </left>
      <right style="medium">
        <color rgb="FF92CDDC"/>
      </right>
      <top/>
      <bottom style="medium">
        <color rgb="FF92CDDC"/>
      </bottom>
      <diagonal/>
    </border>
    <border>
      <left/>
      <right style="medium">
        <color rgb="FF92CDDC"/>
      </right>
      <top/>
      <bottom style="medium">
        <color rgb="FF92CDDC"/>
      </bottom>
      <diagonal/>
    </border>
    <border>
      <left style="medium">
        <color rgb="FF92CDDC"/>
      </left>
      <right style="medium">
        <color rgb="FF92CDDC"/>
      </right>
      <top style="medium">
        <color rgb="FF92CDDC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92CDDC"/>
      </right>
      <top style="medium">
        <color rgb="FFFFFFFF"/>
      </top>
      <bottom/>
      <diagonal/>
    </border>
    <border>
      <left style="medium">
        <color rgb="FF92CDDC"/>
      </left>
      <right style="medium">
        <color rgb="FF92CDDC"/>
      </right>
      <top style="medium">
        <color rgb="FFFFFFFF"/>
      </top>
      <bottom/>
      <diagonal/>
    </border>
    <border>
      <left/>
      <right style="medium">
        <color rgb="FF92CDDC"/>
      </right>
      <top style="medium">
        <color rgb="FFFFFFFF"/>
      </top>
      <bottom style="medium">
        <color rgb="FF92CDDC"/>
      </bottom>
      <diagonal/>
    </border>
    <border>
      <left style="medium">
        <color rgb="FF92CDDC"/>
      </left>
      <right style="medium">
        <color rgb="FF92CDDC"/>
      </right>
      <top/>
      <bottom/>
      <diagonal/>
    </border>
    <border>
      <left style="medium">
        <color rgb="FF92CDDC"/>
      </left>
      <right style="medium">
        <color rgb="FF92CDDC"/>
      </right>
      <top/>
      <bottom style="medium">
        <color rgb="FFFFFFFF"/>
      </bottom>
      <diagonal/>
    </border>
    <border>
      <left/>
      <right style="medium">
        <color rgb="FF92CDDC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92CDDC"/>
      </right>
      <top style="medium">
        <color rgb="FFFFFFFF"/>
      </top>
      <bottom style="medium">
        <color rgb="FFFFFFFF"/>
      </bottom>
      <diagonal/>
    </border>
    <border>
      <left/>
      <right style="medium">
        <color rgb="FF92CDDC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92CDDC"/>
      </left>
      <right/>
      <top style="medium">
        <color rgb="FFFFFFFF"/>
      </top>
      <bottom style="medium">
        <color rgb="FF92CDDC"/>
      </bottom>
      <diagonal/>
    </border>
    <border>
      <left/>
      <right style="medium">
        <color rgb="FFFFFFFF"/>
      </right>
      <top style="medium">
        <color rgb="FFFFFFFF"/>
      </top>
      <bottom style="medium">
        <color rgb="FF92CDDC"/>
      </bottom>
      <diagonal/>
    </border>
    <border>
      <left/>
      <right/>
      <top/>
      <bottom style="medium">
        <color rgb="FF92CDDC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92CDDC"/>
      </bottom>
      <diagonal/>
    </border>
    <border>
      <left/>
      <right style="medium">
        <color rgb="FFFFFFFF"/>
      </right>
      <top/>
      <bottom style="medium">
        <color rgb="FF92CDD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56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18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56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18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18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18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56"/>
      </left>
      <right style="hair">
        <color indexed="5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56"/>
      </left>
      <right style="hair">
        <color indexed="56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56"/>
      </right>
      <top style="hair">
        <color indexed="64"/>
      </top>
      <bottom/>
      <diagonal/>
    </border>
    <border>
      <left style="thin">
        <color indexed="56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56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56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56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56"/>
      </left>
      <right/>
      <top/>
      <bottom style="hair">
        <color indexed="64"/>
      </bottom>
      <diagonal/>
    </border>
    <border>
      <left style="hair">
        <color indexed="56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56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theme="8" tint="0.59996337778862885"/>
      </left>
      <right/>
      <top style="medium">
        <color theme="8" tint="0.59996337778862885"/>
      </top>
      <bottom style="medium">
        <color theme="8" tint="0.59996337778862885"/>
      </bottom>
      <diagonal/>
    </border>
    <border>
      <left/>
      <right style="medium">
        <color theme="8" tint="0.59996337778862885"/>
      </right>
      <top style="medium">
        <color theme="8" tint="0.59996337778862885"/>
      </top>
      <bottom style="medium">
        <color theme="8" tint="0.59996337778862885"/>
      </bottom>
      <diagonal/>
    </border>
    <border>
      <left/>
      <right/>
      <top style="medium">
        <color theme="8" tint="0.59996337778862885"/>
      </top>
      <bottom style="medium">
        <color theme="8" tint="0.59996337778862885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theme="8" tint="0.59996337778862885"/>
      </top>
      <bottom/>
      <diagonal/>
    </border>
    <border>
      <left style="medium">
        <color theme="8" tint="0.59996337778862885"/>
      </left>
      <right style="medium">
        <color theme="8" tint="0.59996337778862885"/>
      </right>
      <top/>
      <bottom style="medium">
        <color theme="8" tint="0.59996337778862885"/>
      </bottom>
      <diagonal/>
    </border>
    <border>
      <left style="hair">
        <color indexed="18"/>
      </left>
      <right style="hair">
        <color indexed="64"/>
      </right>
      <top style="hair">
        <color indexed="8"/>
      </top>
      <bottom/>
      <diagonal/>
    </border>
    <border>
      <left style="hair">
        <color indexed="56"/>
      </left>
      <right style="hair">
        <color indexed="64"/>
      </right>
      <top style="hair">
        <color indexed="64"/>
      </top>
      <bottom/>
      <diagonal/>
    </border>
    <border>
      <left style="hair">
        <color indexed="56"/>
      </left>
      <right style="hair">
        <color indexed="64"/>
      </right>
      <top/>
      <bottom style="hair">
        <color indexed="64"/>
      </bottom>
      <diagonal/>
    </border>
    <border>
      <left style="hair">
        <color indexed="56"/>
      </left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56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18"/>
      </left>
      <right style="hair">
        <color indexed="64"/>
      </right>
      <top style="hair">
        <color indexed="1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8" tint="0.5999633777886288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9">
    <xf numFmtId="0" fontId="0" fillId="0" borderId="0" xfId="0"/>
    <xf numFmtId="0" fontId="0" fillId="3" borderId="0" xfId="0" applyFill="1"/>
    <xf numFmtId="2" fontId="7" fillId="0" borderId="2" xfId="0" applyNumberFormat="1" applyFont="1" applyBorder="1" applyAlignment="1">
      <alignment horizontal="center" vertical="center"/>
    </xf>
    <xf numFmtId="2" fontId="0" fillId="3" borderId="0" xfId="0" applyNumberFormat="1" applyFill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2" fontId="7" fillId="5" borderId="2" xfId="2" applyNumberFormat="1" applyFont="1" applyFill="1" applyBorder="1" applyAlignment="1">
      <alignment horizontal="center" vertical="center"/>
    </xf>
    <xf numFmtId="0" fontId="3" fillId="3" borderId="0" xfId="0" applyFont="1" applyFill="1"/>
    <xf numFmtId="4" fontId="0" fillId="3" borderId="0" xfId="0" applyNumberFormat="1" applyFill="1"/>
    <xf numFmtId="0" fontId="0" fillId="3" borderId="3" xfId="0" applyFill="1" applyBorder="1"/>
    <xf numFmtId="10" fontId="0" fillId="3" borderId="4" xfId="2" applyNumberFormat="1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2" fillId="6" borderId="0" xfId="0" applyFont="1" applyFill="1"/>
    <xf numFmtId="3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43" fontId="2" fillId="6" borderId="0" xfId="1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3" fontId="0" fillId="0" borderId="0" xfId="0" applyNumberFormat="1"/>
    <xf numFmtId="0" fontId="10" fillId="4" borderId="0" xfId="0" applyFont="1" applyFill="1" applyAlignment="1">
      <alignment vertical="center"/>
    </xf>
    <xf numFmtId="0" fontId="11" fillId="9" borderId="8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4" fontId="10" fillId="10" borderId="14" xfId="0" applyNumberFormat="1" applyFont="1" applyFill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10" borderId="14" xfId="0" applyNumberFormat="1" applyFont="1" applyFill="1" applyBorder="1" applyAlignment="1">
      <alignment horizontal="center" vertical="center"/>
    </xf>
    <xf numFmtId="2" fontId="10" fillId="10" borderId="14" xfId="0" applyNumberFormat="1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/>
    </xf>
    <xf numFmtId="4" fontId="13" fillId="11" borderId="16" xfId="0" applyNumberFormat="1" applyFont="1" applyFill="1" applyBorder="1" applyAlignment="1">
      <alignment horizontal="center" vertical="center"/>
    </xf>
    <xf numFmtId="3" fontId="13" fillId="11" borderId="16" xfId="0" applyNumberFormat="1" applyFont="1" applyFill="1" applyBorder="1" applyAlignment="1">
      <alignment horizontal="center" vertical="center"/>
    </xf>
    <xf numFmtId="3" fontId="13" fillId="11" borderId="19" xfId="0" applyNumberFormat="1" applyFont="1" applyFill="1" applyBorder="1" applyAlignment="1">
      <alignment horizontal="center" vertical="center"/>
    </xf>
    <xf numFmtId="3" fontId="13" fillId="11" borderId="18" xfId="0" applyNumberFormat="1" applyFont="1" applyFill="1" applyBorder="1" applyAlignment="1">
      <alignment horizontal="center" vertical="center"/>
    </xf>
    <xf numFmtId="2" fontId="13" fillId="11" borderId="20" xfId="0" applyNumberFormat="1" applyFont="1" applyFill="1" applyBorder="1" applyAlignment="1">
      <alignment horizontal="center" vertical="center"/>
    </xf>
    <xf numFmtId="2" fontId="10" fillId="10" borderId="22" xfId="0" applyNumberFormat="1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4" fontId="10" fillId="10" borderId="25" xfId="0" applyNumberFormat="1" applyFont="1" applyFill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10" borderId="25" xfId="0" applyNumberFormat="1" applyFont="1" applyFill="1" applyBorder="1" applyAlignment="1">
      <alignment horizontal="center" vertical="center"/>
    </xf>
    <xf numFmtId="2" fontId="10" fillId="10" borderId="25" xfId="0" applyNumberFormat="1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4" fontId="13" fillId="11" borderId="17" xfId="0" applyNumberFormat="1" applyFont="1" applyFill="1" applyBorder="1" applyAlignment="1">
      <alignment horizontal="center" vertical="center"/>
    </xf>
    <xf numFmtId="3" fontId="13" fillId="11" borderId="17" xfId="0" applyNumberFormat="1" applyFont="1" applyFill="1" applyBorder="1" applyAlignment="1">
      <alignment horizontal="center" vertical="center"/>
    </xf>
    <xf numFmtId="3" fontId="13" fillId="11" borderId="26" xfId="0" applyNumberFormat="1" applyFont="1" applyFill="1" applyBorder="1" applyAlignment="1">
      <alignment horizontal="center" vertical="center"/>
    </xf>
    <xf numFmtId="2" fontId="13" fillId="11" borderId="27" xfId="0" applyNumberFormat="1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vertical="center"/>
    </xf>
    <xf numFmtId="0" fontId="10" fillId="10" borderId="28" xfId="0" applyFont="1" applyFill="1" applyBorder="1" applyAlignment="1">
      <alignment vertical="center"/>
    </xf>
    <xf numFmtId="3" fontId="13" fillId="11" borderId="29" xfId="0" applyNumberFormat="1" applyFont="1" applyFill="1" applyBorder="1" applyAlignment="1">
      <alignment horizontal="center" vertical="center"/>
    </xf>
    <xf numFmtId="0" fontId="11" fillId="9" borderId="32" xfId="0" applyFont="1" applyFill="1" applyBorder="1" applyAlignment="1">
      <alignment horizontal="center" vertical="center"/>
    </xf>
    <xf numFmtId="4" fontId="11" fillId="9" borderId="33" xfId="0" applyNumberFormat="1" applyFont="1" applyFill="1" applyBorder="1" applyAlignment="1">
      <alignment horizontal="center" vertical="center"/>
    </xf>
    <xf numFmtId="3" fontId="11" fillId="9" borderId="34" xfId="0" applyNumberFormat="1" applyFont="1" applyFill="1" applyBorder="1" applyAlignment="1">
      <alignment horizontal="center" vertical="center"/>
    </xf>
    <xf numFmtId="2" fontId="11" fillId="9" borderId="14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3" fillId="7" borderId="6" xfId="0" applyFont="1" applyFill="1" applyBorder="1"/>
    <xf numFmtId="2" fontId="0" fillId="7" borderId="7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0" fontId="3" fillId="8" borderId="6" xfId="0" applyFont="1" applyFill="1" applyBorder="1"/>
    <xf numFmtId="2" fontId="0" fillId="8" borderId="7" xfId="0" applyNumberFormat="1" applyFill="1" applyBorder="1" applyAlignment="1">
      <alignment horizontal="center"/>
    </xf>
    <xf numFmtId="2" fontId="0" fillId="8" borderId="5" xfId="0" applyNumberFormat="1" applyFill="1" applyBorder="1" applyAlignment="1">
      <alignment horizontal="center"/>
    </xf>
    <xf numFmtId="17" fontId="2" fillId="6" borderId="0" xfId="0" applyNumberFormat="1" applyFont="1" applyFill="1"/>
    <xf numFmtId="4" fontId="2" fillId="6" borderId="0" xfId="0" applyNumberFormat="1" applyFont="1" applyFill="1" applyAlignment="1">
      <alignment horizontal="center"/>
    </xf>
    <xf numFmtId="10" fontId="14" fillId="0" borderId="0" xfId="2" applyNumberFormat="1" applyFont="1"/>
    <xf numFmtId="10" fontId="0" fillId="0" borderId="0" xfId="2" applyNumberFormat="1" applyFont="1"/>
    <xf numFmtId="4" fontId="0" fillId="0" borderId="0" xfId="0" quotePrefix="1" applyNumberFormat="1"/>
    <xf numFmtId="0" fontId="15" fillId="12" borderId="37" xfId="0" applyFont="1" applyFill="1" applyBorder="1" applyAlignment="1">
      <alignment horizontal="centerContinuous" vertical="center"/>
    </xf>
    <xf numFmtId="0" fontId="15" fillId="12" borderId="38" xfId="0" applyFont="1" applyFill="1" applyBorder="1" applyAlignment="1">
      <alignment horizontal="center" vertical="center"/>
    </xf>
    <xf numFmtId="0" fontId="15" fillId="12" borderId="39" xfId="0" quotePrefix="1" applyFont="1" applyFill="1" applyBorder="1" applyAlignment="1">
      <alignment horizontal="center" vertical="center"/>
    </xf>
    <xf numFmtId="0" fontId="15" fillId="12" borderId="36" xfId="0" quotePrefix="1" applyFont="1" applyFill="1" applyBorder="1" applyAlignment="1">
      <alignment horizontal="center" vertical="center"/>
    </xf>
    <xf numFmtId="0" fontId="15" fillId="12" borderId="42" xfId="0" quotePrefix="1" applyFont="1" applyFill="1" applyBorder="1" applyAlignment="1">
      <alignment horizontal="center" vertical="center"/>
    </xf>
    <xf numFmtId="0" fontId="17" fillId="12" borderId="42" xfId="0" applyFont="1" applyFill="1" applyBorder="1" applyAlignment="1">
      <alignment horizontal="center" vertical="center"/>
    </xf>
    <xf numFmtId="0" fontId="18" fillId="12" borderId="42" xfId="0" applyFont="1" applyFill="1" applyBorder="1" applyAlignment="1">
      <alignment horizontal="center" vertical="center"/>
    </xf>
    <xf numFmtId="0" fontId="17" fillId="12" borderId="42" xfId="0" quotePrefix="1" applyFont="1" applyFill="1" applyBorder="1" applyAlignment="1">
      <alignment horizontal="center" vertical="center"/>
    </xf>
    <xf numFmtId="0" fontId="17" fillId="12" borderId="48" xfId="0" quotePrefix="1" applyFont="1" applyFill="1" applyBorder="1" applyAlignment="1">
      <alignment horizontal="center" vertical="center"/>
    </xf>
    <xf numFmtId="0" fontId="15" fillId="12" borderId="49" xfId="0" applyFont="1" applyFill="1" applyBorder="1" applyAlignment="1">
      <alignment horizontal="center" vertical="center"/>
    </xf>
    <xf numFmtId="0" fontId="17" fillId="0" borderId="53" xfId="0" applyFont="1" applyBorder="1" applyAlignment="1">
      <alignment horizontal="left" vertical="center"/>
    </xf>
    <xf numFmtId="164" fontId="16" fillId="0" borderId="54" xfId="0" applyNumberFormat="1" applyFont="1" applyBorder="1" applyAlignment="1">
      <alignment horizontal="right" vertical="center"/>
    </xf>
    <xf numFmtId="3" fontId="16" fillId="0" borderId="55" xfId="0" applyNumberFormat="1" applyFont="1" applyBorder="1" applyAlignment="1">
      <alignment horizontal="right" vertical="center"/>
    </xf>
    <xf numFmtId="165" fontId="16" fillId="13" borderId="56" xfId="1" applyNumberFormat="1" applyFont="1" applyFill="1" applyBorder="1" applyAlignment="1">
      <alignment horizontal="right" vertical="center"/>
    </xf>
    <xf numFmtId="166" fontId="16" fillId="13" borderId="60" xfId="0" applyNumberFormat="1" applyFont="1" applyFill="1" applyBorder="1" applyAlignment="1">
      <alignment horizontal="right" vertical="center"/>
    </xf>
    <xf numFmtId="0" fontId="17" fillId="0" borderId="62" xfId="0" applyFont="1" applyBorder="1" applyAlignment="1">
      <alignment horizontal="left" vertical="center"/>
    </xf>
    <xf numFmtId="164" fontId="16" fillId="0" borderId="63" xfId="0" applyNumberFormat="1" applyFont="1" applyBorder="1" applyAlignment="1">
      <alignment horizontal="right" vertical="center"/>
    </xf>
    <xf numFmtId="165" fontId="16" fillId="13" borderId="64" xfId="1" applyNumberFormat="1" applyFont="1" applyFill="1" applyBorder="1" applyAlignment="1">
      <alignment horizontal="right" vertical="center"/>
    </xf>
    <xf numFmtId="0" fontId="15" fillId="13" borderId="67" xfId="0" applyFont="1" applyFill="1" applyBorder="1" applyAlignment="1">
      <alignment horizontal="center" vertical="center"/>
    </xf>
    <xf numFmtId="2" fontId="0" fillId="0" borderId="68" xfId="0" applyNumberFormat="1" applyBorder="1" applyAlignment="1">
      <alignment horizontal="right"/>
    </xf>
    <xf numFmtId="3" fontId="16" fillId="0" borderId="65" xfId="0" applyNumberFormat="1" applyFont="1" applyBorder="1" applyAlignment="1">
      <alignment horizontal="right" vertical="center"/>
    </xf>
    <xf numFmtId="165" fontId="16" fillId="13" borderId="58" xfId="1" applyNumberFormat="1" applyFont="1" applyFill="1" applyBorder="1" applyAlignment="1">
      <alignment horizontal="right" vertical="center"/>
    </xf>
    <xf numFmtId="164" fontId="16" fillId="0" borderId="71" xfId="0" applyNumberFormat="1" applyFont="1" applyBorder="1" applyAlignment="1">
      <alignment horizontal="right" vertical="center"/>
    </xf>
    <xf numFmtId="3" fontId="16" fillId="12" borderId="72" xfId="0" applyNumberFormat="1" applyFont="1" applyFill="1" applyBorder="1" applyAlignment="1">
      <alignment horizontal="right" vertical="center"/>
    </xf>
    <xf numFmtId="3" fontId="16" fillId="12" borderId="73" xfId="0" applyNumberFormat="1" applyFont="1" applyFill="1" applyBorder="1" applyAlignment="1">
      <alignment horizontal="right" vertical="center"/>
    </xf>
    <xf numFmtId="37" fontId="20" fillId="0" borderId="74" xfId="0" applyNumberFormat="1" applyFont="1" applyBorder="1" applyAlignment="1">
      <alignment horizontal="right" wrapText="1"/>
    </xf>
    <xf numFmtId="3" fontId="16" fillId="12" borderId="76" xfId="0" applyNumberFormat="1" applyFont="1" applyFill="1" applyBorder="1" applyAlignment="1">
      <alignment horizontal="right" vertical="center"/>
    </xf>
    <xf numFmtId="3" fontId="16" fillId="12" borderId="77" xfId="0" applyNumberFormat="1" applyFont="1" applyFill="1" applyBorder="1" applyAlignment="1">
      <alignment horizontal="right" vertical="center"/>
    </xf>
    <xf numFmtId="3" fontId="16" fillId="14" borderId="76" xfId="0" applyNumberFormat="1" applyFont="1" applyFill="1" applyBorder="1" applyAlignment="1">
      <alignment horizontal="right" vertical="center"/>
    </xf>
    <xf numFmtId="3" fontId="16" fillId="14" borderId="77" xfId="0" applyNumberFormat="1" applyFont="1" applyFill="1" applyBorder="1" applyAlignment="1">
      <alignment horizontal="right" vertical="center"/>
    </xf>
    <xf numFmtId="165" fontId="16" fillId="0" borderId="56" xfId="1" applyNumberFormat="1" applyFont="1" applyFill="1" applyBorder="1" applyAlignment="1">
      <alignment horizontal="right" vertical="center"/>
    </xf>
    <xf numFmtId="3" fontId="16" fillId="14" borderId="78" xfId="0" applyNumberFormat="1" applyFont="1" applyFill="1" applyBorder="1" applyAlignment="1">
      <alignment horizontal="right" vertical="center"/>
    </xf>
    <xf numFmtId="3" fontId="16" fillId="14" borderId="82" xfId="0" applyNumberFormat="1" applyFont="1" applyFill="1" applyBorder="1" applyAlignment="1">
      <alignment horizontal="right" vertical="center"/>
    </xf>
    <xf numFmtId="164" fontId="16" fillId="0" borderId="83" xfId="0" applyNumberFormat="1" applyFont="1" applyBorder="1" applyAlignment="1">
      <alignment horizontal="right" vertical="center"/>
    </xf>
    <xf numFmtId="3" fontId="16" fillId="0" borderId="56" xfId="0" applyNumberFormat="1" applyFont="1" applyBorder="1" applyAlignment="1">
      <alignment horizontal="right" vertical="center"/>
    </xf>
    <xf numFmtId="0" fontId="15" fillId="13" borderId="84" xfId="0" applyFont="1" applyFill="1" applyBorder="1" applyAlignment="1">
      <alignment horizontal="center" vertical="center"/>
    </xf>
    <xf numFmtId="0" fontId="17" fillId="0" borderId="85" xfId="0" applyFont="1" applyBorder="1" applyAlignment="1">
      <alignment horizontal="left" vertical="center"/>
    </xf>
    <xf numFmtId="164" fontId="16" fillId="0" borderId="86" xfId="0" applyNumberFormat="1" applyFont="1" applyBorder="1" applyAlignment="1">
      <alignment horizontal="right" vertical="center"/>
    </xf>
    <xf numFmtId="166" fontId="16" fillId="0" borderId="60" xfId="0" applyNumberFormat="1" applyFont="1" applyBorder="1" applyAlignment="1">
      <alignment horizontal="right" vertical="center"/>
    </xf>
    <xf numFmtId="165" fontId="15" fillId="13" borderId="93" xfId="1" applyNumberFormat="1" applyFont="1" applyFill="1" applyBorder="1" applyAlignment="1">
      <alignment horizontal="right" vertical="center"/>
    </xf>
    <xf numFmtId="165" fontId="15" fillId="13" borderId="94" xfId="1" applyNumberFormat="1" applyFont="1" applyFill="1" applyBorder="1" applyAlignment="1">
      <alignment horizontal="right" vertical="center"/>
    </xf>
    <xf numFmtId="0" fontId="17" fillId="0" borderId="95" xfId="0" applyFont="1" applyBorder="1" applyAlignment="1">
      <alignment vertical="center"/>
    </xf>
    <xf numFmtId="4" fontId="20" fillId="0" borderId="71" xfId="0" applyNumberFormat="1" applyFont="1" applyBorder="1" applyProtection="1">
      <protection locked="0"/>
    </xf>
    <xf numFmtId="3" fontId="16" fillId="13" borderId="65" xfId="0" applyNumberFormat="1" applyFont="1" applyFill="1" applyBorder="1" applyAlignment="1">
      <alignment horizontal="right" vertical="center"/>
    </xf>
    <xf numFmtId="3" fontId="20" fillId="0" borderId="56" xfId="0" applyNumberFormat="1" applyFont="1" applyBorder="1" applyProtection="1">
      <protection locked="0"/>
    </xf>
    <xf numFmtId="0" fontId="17" fillId="0" borderId="97" xfId="0" applyFont="1" applyBorder="1" applyAlignment="1">
      <alignment vertical="center"/>
    </xf>
    <xf numFmtId="38" fontId="16" fillId="13" borderId="89" xfId="1" applyNumberFormat="1" applyFont="1" applyFill="1" applyBorder="1" applyAlignment="1">
      <alignment horizontal="right" vertical="center"/>
    </xf>
    <xf numFmtId="167" fontId="16" fillId="0" borderId="100" xfId="0" applyNumberFormat="1" applyFont="1" applyBorder="1" applyAlignment="1">
      <alignment horizontal="right" vertical="center"/>
    </xf>
    <xf numFmtId="0" fontId="17" fillId="0" borderId="102" xfId="0" applyFont="1" applyBorder="1" applyAlignment="1">
      <alignment vertical="center"/>
    </xf>
    <xf numFmtId="2" fontId="16" fillId="0" borderId="71" xfId="0" applyNumberFormat="1" applyFont="1" applyBorder="1" applyAlignment="1">
      <alignment horizontal="right" vertical="center"/>
    </xf>
    <xf numFmtId="3" fontId="16" fillId="12" borderId="0" xfId="0" applyNumberFormat="1" applyFont="1" applyFill="1" applyAlignment="1">
      <alignment horizontal="right" vertical="center"/>
    </xf>
    <xf numFmtId="3" fontId="16" fillId="0" borderId="56" xfId="0" applyNumberFormat="1" applyFont="1" applyBorder="1"/>
    <xf numFmtId="0" fontId="18" fillId="0" borderId="103" xfId="0" applyFont="1" applyBorder="1" applyAlignment="1">
      <alignment vertical="center"/>
    </xf>
    <xf numFmtId="3" fontId="16" fillId="0" borderId="65" xfId="1" applyNumberFormat="1" applyFont="1" applyFill="1" applyBorder="1" applyAlignment="1">
      <alignment horizontal="right" vertical="center"/>
    </xf>
    <xf numFmtId="3" fontId="16" fillId="13" borderId="78" xfId="1" applyNumberFormat="1" applyFont="1" applyFill="1" applyBorder="1" applyAlignment="1">
      <alignment horizontal="right" vertical="center"/>
    </xf>
    <xf numFmtId="0" fontId="17" fillId="0" borderId="102" xfId="0" applyFont="1" applyBorder="1" applyAlignment="1">
      <alignment horizontal="left" vertical="center"/>
    </xf>
    <xf numFmtId="165" fontId="16" fillId="0" borderId="64" xfId="0" applyNumberFormat="1" applyFont="1" applyBorder="1" applyAlignment="1">
      <alignment horizontal="right" vertical="center"/>
    </xf>
    <xf numFmtId="166" fontId="16" fillId="0" borderId="104" xfId="0" applyNumberFormat="1" applyFont="1" applyBorder="1" applyAlignment="1">
      <alignment horizontal="right" vertical="center"/>
    </xf>
    <xf numFmtId="0" fontId="17" fillId="0" borderId="103" xfId="0" applyFont="1" applyBorder="1" applyAlignment="1">
      <alignment horizontal="left" vertical="center"/>
    </xf>
    <xf numFmtId="0" fontId="17" fillId="0" borderId="110" xfId="0" applyFont="1" applyBorder="1" applyAlignment="1">
      <alignment vertical="center"/>
    </xf>
    <xf numFmtId="167" fontId="16" fillId="0" borderId="111" xfId="0" applyNumberFormat="1" applyFont="1" applyBorder="1" applyAlignment="1">
      <alignment horizontal="right" vertical="center"/>
    </xf>
    <xf numFmtId="165" fontId="16" fillId="13" borderId="65" xfId="0" applyNumberFormat="1" applyFont="1" applyFill="1" applyBorder="1" applyAlignment="1">
      <alignment horizontal="right" vertical="center"/>
    </xf>
    <xf numFmtId="165" fontId="16" fillId="0" borderId="112" xfId="1" applyNumberFormat="1" applyFont="1" applyFill="1" applyBorder="1" applyAlignment="1">
      <alignment horizontal="right" vertical="center"/>
    </xf>
    <xf numFmtId="165" fontId="16" fillId="0" borderId="58" xfId="1" applyNumberFormat="1" applyFont="1" applyFill="1" applyBorder="1" applyAlignment="1">
      <alignment horizontal="right" vertical="center"/>
    </xf>
    <xf numFmtId="166" fontId="16" fillId="13" borderId="114" xfId="0" applyNumberFormat="1" applyFont="1" applyFill="1" applyBorder="1" applyAlignment="1">
      <alignment horizontal="right" vertical="center"/>
    </xf>
    <xf numFmtId="167" fontId="16" fillId="0" borderId="110" xfId="0" applyNumberFormat="1" applyFont="1" applyBorder="1" applyAlignment="1">
      <alignment horizontal="right" vertical="center"/>
    </xf>
    <xf numFmtId="165" fontId="16" fillId="13" borderId="79" xfId="0" applyNumberFormat="1" applyFont="1" applyFill="1" applyBorder="1" applyAlignment="1">
      <alignment horizontal="right" vertical="center"/>
    </xf>
    <xf numFmtId="166" fontId="16" fillId="13" borderId="104" xfId="0" applyNumberFormat="1" applyFont="1" applyFill="1" applyBorder="1" applyAlignment="1">
      <alignment horizontal="right" vertical="center"/>
    </xf>
    <xf numFmtId="0" fontId="17" fillId="0" borderId="110" xfId="0" quotePrefix="1" applyFont="1" applyBorder="1" applyAlignment="1">
      <alignment horizontal="left" vertical="center"/>
    </xf>
    <xf numFmtId="3" fontId="16" fillId="0" borderId="55" xfId="0" applyNumberFormat="1" applyFont="1" applyBorder="1" applyAlignment="1">
      <alignment horizontal="right"/>
    </xf>
    <xf numFmtId="3" fontId="16" fillId="0" borderId="55" xfId="1" applyNumberFormat="1" applyFont="1" applyFill="1" applyBorder="1" applyAlignment="1">
      <alignment horizontal="right" vertical="center"/>
    </xf>
    <xf numFmtId="38" fontId="16" fillId="0" borderId="58" xfId="1" applyNumberFormat="1" applyFont="1" applyFill="1" applyBorder="1" applyAlignment="1">
      <alignment horizontal="right" vertical="center"/>
    </xf>
    <xf numFmtId="3" fontId="16" fillId="0" borderId="56" xfId="0" applyNumberFormat="1" applyFont="1" applyBorder="1" applyAlignment="1">
      <alignment horizontal="right"/>
    </xf>
    <xf numFmtId="3" fontId="16" fillId="0" borderId="56" xfId="1" applyNumberFormat="1" applyFont="1" applyFill="1" applyBorder="1" applyAlignment="1">
      <alignment horizontal="right" vertical="center"/>
    </xf>
    <xf numFmtId="0" fontId="15" fillId="0" borderId="67" xfId="0" applyFont="1" applyBorder="1" applyAlignment="1">
      <alignment horizontal="center" vertical="center"/>
    </xf>
    <xf numFmtId="165" fontId="16" fillId="12" borderId="115" xfId="0" applyNumberFormat="1" applyFont="1" applyFill="1" applyBorder="1" applyAlignment="1">
      <alignment horizontal="right" vertical="center"/>
    </xf>
    <xf numFmtId="165" fontId="16" fillId="12" borderId="82" xfId="0" applyNumberFormat="1" applyFont="1" applyFill="1" applyBorder="1" applyAlignment="1">
      <alignment horizontal="right" vertical="center"/>
    </xf>
    <xf numFmtId="165" fontId="16" fillId="0" borderId="117" xfId="1" applyNumberFormat="1" applyFont="1" applyFill="1" applyBorder="1" applyAlignment="1">
      <alignment horizontal="right" vertical="center"/>
    </xf>
    <xf numFmtId="165" fontId="16" fillId="13" borderId="117" xfId="1" applyNumberFormat="1" applyFont="1" applyFill="1" applyBorder="1" applyAlignment="1">
      <alignment horizontal="right" vertical="center"/>
    </xf>
    <xf numFmtId="166" fontId="16" fillId="13" borderId="118" xfId="0" applyNumberFormat="1" applyFont="1" applyFill="1" applyBorder="1" applyAlignment="1">
      <alignment horizontal="right" vertical="center"/>
    </xf>
    <xf numFmtId="165" fontId="16" fillId="12" borderId="0" xfId="0" applyNumberFormat="1" applyFont="1" applyFill="1" applyAlignment="1">
      <alignment horizontal="right" vertical="center"/>
    </xf>
    <xf numFmtId="165" fontId="16" fillId="12" borderId="77" xfId="0" applyNumberFormat="1" applyFont="1" applyFill="1" applyBorder="1" applyAlignment="1">
      <alignment horizontal="right" vertical="center"/>
    </xf>
    <xf numFmtId="0" fontId="17" fillId="0" borderId="117" xfId="0" applyFont="1" applyBorder="1" applyAlignment="1">
      <alignment vertical="center"/>
    </xf>
    <xf numFmtId="165" fontId="16" fillId="0" borderId="56" xfId="0" applyNumberFormat="1" applyFont="1" applyBorder="1" applyAlignment="1">
      <alignment horizontal="right" vertical="center"/>
    </xf>
    <xf numFmtId="0" fontId="17" fillId="0" borderId="62" xfId="0" applyFont="1" applyBorder="1" applyAlignment="1">
      <alignment vertical="center"/>
    </xf>
    <xf numFmtId="164" fontId="16" fillId="0" borderId="110" xfId="0" applyNumberFormat="1" applyFont="1" applyBorder="1" applyAlignment="1">
      <alignment horizontal="right" vertical="center"/>
    </xf>
    <xf numFmtId="165" fontId="16" fillId="13" borderId="56" xfId="0" applyNumberFormat="1" applyFont="1" applyFill="1" applyBorder="1" applyAlignment="1">
      <alignment horizontal="right" vertical="center"/>
    </xf>
    <xf numFmtId="0" fontId="23" fillId="0" borderId="110" xfId="0" applyFont="1" applyBorder="1" applyAlignment="1">
      <alignment vertical="center"/>
    </xf>
    <xf numFmtId="0" fontId="23" fillId="0" borderId="110" xfId="0" applyFont="1" applyBorder="1" applyAlignment="1">
      <alignment horizontal="left" vertical="center"/>
    </xf>
    <xf numFmtId="0" fontId="17" fillId="0" borderId="110" xfId="0" applyFont="1" applyBorder="1" applyAlignment="1">
      <alignment horizontal="left" vertical="center"/>
    </xf>
    <xf numFmtId="0" fontId="17" fillId="0" borderId="119" xfId="0" applyFont="1" applyBorder="1" applyAlignment="1">
      <alignment horizontal="left" vertical="center"/>
    </xf>
    <xf numFmtId="165" fontId="16" fillId="12" borderId="120" xfId="0" applyNumberFormat="1" applyFont="1" applyFill="1" applyBorder="1" applyAlignment="1">
      <alignment horizontal="right" vertical="center"/>
    </xf>
    <xf numFmtId="167" fontId="16" fillId="0" borderId="86" xfId="0" applyNumberFormat="1" applyFont="1" applyBorder="1" applyAlignment="1">
      <alignment horizontal="right" vertical="center"/>
    </xf>
    <xf numFmtId="164" fontId="0" fillId="0" borderId="0" xfId="0" applyNumberFormat="1"/>
    <xf numFmtId="167" fontId="0" fillId="0" borderId="0" xfId="0" applyNumberFormat="1"/>
    <xf numFmtId="4" fontId="25" fillId="0" borderId="0" xfId="0" applyNumberFormat="1" applyFont="1"/>
    <xf numFmtId="0" fontId="7" fillId="5" borderId="125" xfId="0" applyFont="1" applyFill="1" applyBorder="1" applyAlignment="1">
      <alignment vertical="center"/>
    </xf>
    <xf numFmtId="0" fontId="7" fillId="0" borderId="125" xfId="0" applyFont="1" applyBorder="1" applyAlignment="1">
      <alignment horizontal="center" vertical="center"/>
    </xf>
    <xf numFmtId="4" fontId="7" fillId="5" borderId="125" xfId="0" applyNumberFormat="1" applyFont="1" applyFill="1" applyBorder="1" applyAlignment="1">
      <alignment horizontal="center" vertical="center"/>
    </xf>
    <xf numFmtId="3" fontId="7" fillId="0" borderId="125" xfId="0" applyNumberFormat="1" applyFont="1" applyBorder="1" applyAlignment="1">
      <alignment horizontal="center" vertical="center"/>
    </xf>
    <xf numFmtId="3" fontId="7" fillId="5" borderId="125" xfId="0" applyNumberFormat="1" applyFont="1" applyFill="1" applyBorder="1" applyAlignment="1">
      <alignment horizontal="center" vertical="center"/>
    </xf>
    <xf numFmtId="2" fontId="7" fillId="5" borderId="125" xfId="0" applyNumberFormat="1" applyFont="1" applyFill="1" applyBorder="1" applyAlignment="1">
      <alignment horizontal="center" vertical="center"/>
    </xf>
    <xf numFmtId="2" fontId="7" fillId="0" borderId="125" xfId="0" applyNumberFormat="1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4" fontId="6" fillId="5" borderId="125" xfId="0" applyNumberFormat="1" applyFont="1" applyFill="1" applyBorder="1" applyAlignment="1">
      <alignment horizontal="center" vertical="center"/>
    </xf>
    <xf numFmtId="3" fontId="6" fillId="0" borderId="125" xfId="0" applyNumberFormat="1" applyFont="1" applyBorder="1" applyAlignment="1">
      <alignment horizontal="center" vertical="center"/>
    </xf>
    <xf numFmtId="3" fontId="6" fillId="5" borderId="125" xfId="0" applyNumberFormat="1" applyFont="1" applyFill="1" applyBorder="1" applyAlignment="1">
      <alignment horizontal="center" vertical="center"/>
    </xf>
    <xf numFmtId="2" fontId="6" fillId="5" borderId="125" xfId="0" applyNumberFormat="1" applyFont="1" applyFill="1" applyBorder="1" applyAlignment="1">
      <alignment horizontal="center" vertical="center"/>
    </xf>
    <xf numFmtId="2" fontId="6" fillId="0" borderId="125" xfId="0" applyNumberFormat="1" applyFont="1" applyBorder="1" applyAlignment="1">
      <alignment horizontal="center" vertical="center"/>
    </xf>
    <xf numFmtId="0" fontId="7" fillId="5" borderId="125" xfId="0" applyFont="1" applyFill="1" applyBorder="1" applyAlignment="1">
      <alignment horizontal="center" vertical="center"/>
    </xf>
    <xf numFmtId="0" fontId="5" fillId="6" borderId="125" xfId="0" applyFont="1" applyFill="1" applyBorder="1" applyAlignment="1">
      <alignment horizontal="center" vertical="center"/>
    </xf>
    <xf numFmtId="4" fontId="5" fillId="6" borderId="125" xfId="0" applyNumberFormat="1" applyFont="1" applyFill="1" applyBorder="1" applyAlignment="1">
      <alignment horizontal="center" vertical="center"/>
    </xf>
    <xf numFmtId="3" fontId="5" fillId="6" borderId="125" xfId="0" applyNumberFormat="1" applyFont="1" applyFill="1" applyBorder="1" applyAlignment="1">
      <alignment horizontal="center" vertical="center"/>
    </xf>
    <xf numFmtId="2" fontId="5" fillId="6" borderId="125" xfId="0" applyNumberFormat="1" applyFont="1" applyFill="1" applyBorder="1" applyAlignment="1">
      <alignment horizontal="center" vertical="center"/>
    </xf>
    <xf numFmtId="0" fontId="4" fillId="6" borderId="125" xfId="0" applyFont="1" applyFill="1" applyBorder="1" applyAlignment="1">
      <alignment horizontal="center" vertical="center" textRotation="90"/>
    </xf>
    <xf numFmtId="0" fontId="5" fillId="6" borderId="125" xfId="0" applyFont="1" applyFill="1" applyBorder="1" applyAlignment="1">
      <alignment horizontal="center" vertical="center" wrapText="1"/>
    </xf>
    <xf numFmtId="0" fontId="26" fillId="0" borderId="126" xfId="0" applyFont="1" applyBorder="1" applyAlignment="1">
      <alignment vertical="center"/>
    </xf>
    <xf numFmtId="0" fontId="26" fillId="0" borderId="127" xfId="0" applyFont="1" applyBorder="1" applyAlignment="1">
      <alignment vertical="center"/>
    </xf>
    <xf numFmtId="10" fontId="0" fillId="3" borderId="0" xfId="2" applyNumberFormat="1" applyFont="1" applyFill="1"/>
    <xf numFmtId="3" fontId="16" fillId="0" borderId="65" xfId="0" applyNumberFormat="1" applyFont="1" applyBorder="1" applyAlignment="1">
      <alignment horizontal="right"/>
    </xf>
    <xf numFmtId="3" fontId="16" fillId="0" borderId="88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horizontal="right" vertical="center"/>
    </xf>
    <xf numFmtId="3" fontId="16" fillId="0" borderId="73" xfId="0" applyNumberFormat="1" applyFont="1" applyBorder="1" applyAlignment="1">
      <alignment horizontal="right" vertical="center"/>
    </xf>
    <xf numFmtId="37" fontId="0" fillId="13" borderId="74" xfId="0" applyNumberFormat="1" applyFill="1" applyBorder="1"/>
    <xf numFmtId="3" fontId="16" fillId="0" borderId="129" xfId="0" applyNumberFormat="1" applyFont="1" applyBorder="1" applyAlignment="1">
      <alignment horizontal="right" vertical="center"/>
    </xf>
    <xf numFmtId="165" fontId="16" fillId="0" borderId="77" xfId="0" applyNumberFormat="1" applyFont="1" applyBorder="1" applyAlignment="1">
      <alignment horizontal="right" vertical="center"/>
    </xf>
    <xf numFmtId="0" fontId="23" fillId="3" borderId="110" xfId="0" applyFont="1" applyFill="1" applyBorder="1" applyAlignment="1">
      <alignment vertical="center"/>
    </xf>
    <xf numFmtId="0" fontId="23" fillId="3" borderId="110" xfId="0" applyFont="1" applyFill="1" applyBorder="1" applyAlignment="1">
      <alignment horizontal="left" vertical="center"/>
    </xf>
    <xf numFmtId="0" fontId="17" fillId="3" borderId="110" xfId="0" applyFont="1" applyFill="1" applyBorder="1" applyAlignment="1">
      <alignment horizontal="left" vertical="center"/>
    </xf>
    <xf numFmtId="165" fontId="16" fillId="13" borderId="55" xfId="0" applyNumberFormat="1" applyFont="1" applyFill="1" applyBorder="1" applyAlignment="1">
      <alignment horizontal="right" vertical="center"/>
    </xf>
    <xf numFmtId="165" fontId="16" fillId="0" borderId="82" xfId="0" applyNumberFormat="1" applyFont="1" applyBorder="1" applyAlignment="1">
      <alignment horizontal="right" vertical="center"/>
    </xf>
    <xf numFmtId="165" fontId="0" fillId="0" borderId="0" xfId="0" applyNumberFormat="1"/>
    <xf numFmtId="43" fontId="0" fillId="0" borderId="0" xfId="1" applyFont="1"/>
    <xf numFmtId="43" fontId="0" fillId="0" borderId="0" xfId="0" applyNumberFormat="1"/>
    <xf numFmtId="170" fontId="0" fillId="0" borderId="0" xfId="0" applyNumberFormat="1"/>
    <xf numFmtId="2" fontId="16" fillId="0" borderId="54" xfId="0" applyNumberFormat="1" applyFont="1" applyBorder="1" applyAlignment="1">
      <alignment horizontal="right" vertical="center"/>
    </xf>
    <xf numFmtId="171" fontId="0" fillId="0" borderId="0" xfId="0" applyNumberFormat="1"/>
    <xf numFmtId="2" fontId="3" fillId="3" borderId="0" xfId="0" applyNumberFormat="1" applyFont="1" applyFill="1"/>
    <xf numFmtId="0" fontId="15" fillId="12" borderId="36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7" xfId="0" applyFont="1" applyFill="1" applyBorder="1" applyAlignment="1">
      <alignment horizontal="center" vertical="center"/>
    </xf>
    <xf numFmtId="0" fontId="17" fillId="12" borderId="47" xfId="0" applyFont="1" applyFill="1" applyBorder="1" applyAlignment="1">
      <alignment horizontal="center" vertical="center"/>
    </xf>
    <xf numFmtId="3" fontId="16" fillId="13" borderId="56" xfId="0" applyNumberFormat="1" applyFont="1" applyFill="1" applyBorder="1" applyAlignment="1">
      <alignment horizontal="right" vertical="center"/>
    </xf>
    <xf numFmtId="3" fontId="28" fillId="0" borderId="74" xfId="0" applyNumberFormat="1" applyFont="1" applyBorder="1" applyAlignment="1" applyProtection="1">
      <alignment vertical="center"/>
      <protection locked="0"/>
    </xf>
    <xf numFmtId="3" fontId="29" fillId="3" borderId="137" xfId="0" applyNumberFormat="1" applyFont="1" applyFill="1" applyBorder="1" applyAlignment="1" applyProtection="1">
      <alignment horizontal="right" vertical="center"/>
      <protection locked="0"/>
    </xf>
    <xf numFmtId="0" fontId="16" fillId="0" borderId="86" xfId="0" applyFont="1" applyBorder="1" applyAlignment="1">
      <alignment horizontal="right" vertical="center"/>
    </xf>
    <xf numFmtId="0" fontId="15" fillId="13" borderId="61" xfId="0" applyFont="1" applyFill="1" applyBorder="1" applyAlignment="1">
      <alignment horizontal="center" vertical="center"/>
    </xf>
    <xf numFmtId="0" fontId="15" fillId="13" borderId="70" xfId="0" applyFont="1" applyFill="1" applyBorder="1" applyAlignment="1">
      <alignment horizontal="center" vertical="center"/>
    </xf>
    <xf numFmtId="165" fontId="16" fillId="13" borderId="65" xfId="1" applyNumberFormat="1" applyFont="1" applyFill="1" applyBorder="1" applyAlignment="1">
      <alignment horizontal="right" vertical="center"/>
    </xf>
    <xf numFmtId="165" fontId="16" fillId="0" borderId="65" xfId="1" applyNumberFormat="1" applyFont="1" applyFill="1" applyBorder="1" applyAlignment="1">
      <alignment horizontal="right" vertical="center"/>
    </xf>
    <xf numFmtId="165" fontId="16" fillId="0" borderId="72" xfId="1" applyNumberFormat="1" applyFont="1" applyFill="1" applyBorder="1" applyAlignment="1">
      <alignment horizontal="right" vertical="center"/>
    </xf>
    <xf numFmtId="165" fontId="16" fillId="0" borderId="78" xfId="1" applyNumberFormat="1" applyFont="1" applyFill="1" applyBorder="1" applyAlignment="1">
      <alignment horizontal="right" vertical="center"/>
    </xf>
    <xf numFmtId="165" fontId="16" fillId="13" borderId="78" xfId="1" applyNumberFormat="1" applyFont="1" applyFill="1" applyBorder="1" applyAlignment="1">
      <alignment horizontal="right" vertical="center"/>
    </xf>
    <xf numFmtId="164" fontId="16" fillId="0" borderId="138" xfId="0" applyNumberFormat="1" applyFont="1" applyBorder="1" applyAlignment="1">
      <alignment horizontal="right" vertical="center"/>
    </xf>
    <xf numFmtId="2" fontId="0" fillId="0" borderId="139" xfId="0" applyNumberFormat="1" applyBorder="1" applyAlignment="1">
      <alignment horizontal="right"/>
    </xf>
    <xf numFmtId="164" fontId="16" fillId="0" borderId="142" xfId="0" applyNumberFormat="1" applyFont="1" applyBorder="1" applyAlignment="1">
      <alignment horizontal="right" vertical="center"/>
    </xf>
    <xf numFmtId="3" fontId="16" fillId="0" borderId="79" xfId="0" applyNumberFormat="1" applyFont="1" applyBorder="1" applyAlignment="1">
      <alignment horizontal="right" vertical="center"/>
    </xf>
    <xf numFmtId="4" fontId="20" fillId="0" borderId="110" xfId="0" applyNumberFormat="1" applyFont="1" applyBorder="1" applyProtection="1">
      <protection locked="0"/>
    </xf>
    <xf numFmtId="165" fontId="16" fillId="0" borderId="79" xfId="0" applyNumberFormat="1" applyFont="1" applyBorder="1" applyAlignment="1">
      <alignment horizontal="right" vertical="center"/>
    </xf>
    <xf numFmtId="173" fontId="16" fillId="13" borderId="58" xfId="1" applyNumberFormat="1" applyFont="1" applyFill="1" applyBorder="1" applyAlignment="1">
      <alignment horizontal="right" vertical="center"/>
    </xf>
    <xf numFmtId="172" fontId="16" fillId="13" borderId="58" xfId="1" applyNumberFormat="1" applyFont="1" applyFill="1" applyBorder="1" applyAlignment="1">
      <alignment horizontal="right" vertical="center"/>
    </xf>
    <xf numFmtId="172" fontId="16" fillId="13" borderId="55" xfId="1" applyNumberFormat="1" applyFont="1" applyFill="1" applyBorder="1" applyAlignment="1">
      <alignment horizontal="center" vertical="center"/>
    </xf>
    <xf numFmtId="172" fontId="16" fillId="13" borderId="96" xfId="1" applyNumberFormat="1" applyFont="1" applyFill="1" applyBorder="1" applyAlignment="1">
      <alignment horizontal="right" vertical="center"/>
    </xf>
    <xf numFmtId="172" fontId="16" fillId="0" borderId="58" xfId="1" applyNumberFormat="1" applyFont="1" applyFill="1" applyBorder="1" applyAlignment="1">
      <alignment horizontal="right" vertical="center"/>
    </xf>
    <xf numFmtId="172" fontId="16" fillId="13" borderId="89" xfId="1" applyNumberFormat="1" applyFont="1" applyFill="1" applyBorder="1" applyAlignment="1">
      <alignment horizontal="right" vertical="center"/>
    </xf>
    <xf numFmtId="172" fontId="16" fillId="13" borderId="72" xfId="1" applyNumberFormat="1" applyFont="1" applyFill="1" applyBorder="1" applyAlignment="1">
      <alignment horizontal="right" vertical="center"/>
    </xf>
    <xf numFmtId="172" fontId="16" fillId="13" borderId="64" xfId="1" applyNumberFormat="1" applyFont="1" applyFill="1" applyBorder="1" applyAlignment="1">
      <alignment horizontal="right" vertical="center"/>
    </xf>
    <xf numFmtId="175" fontId="16" fillId="0" borderId="58" xfId="1" applyNumberFormat="1" applyFont="1" applyFill="1" applyBorder="1" applyAlignment="1">
      <alignment horizontal="right" vertical="center"/>
    </xf>
    <xf numFmtId="172" fontId="16" fillId="0" borderId="56" xfId="1" applyNumberFormat="1" applyFont="1" applyFill="1" applyBorder="1" applyAlignment="1">
      <alignment horizontal="right" vertical="center"/>
    </xf>
    <xf numFmtId="172" fontId="16" fillId="0" borderId="106" xfId="1" applyNumberFormat="1" applyFont="1" applyFill="1" applyBorder="1" applyAlignment="1">
      <alignment horizontal="right" vertical="center"/>
    </xf>
    <xf numFmtId="172" fontId="16" fillId="0" borderId="55" xfId="1" applyNumberFormat="1" applyFont="1" applyFill="1" applyBorder="1" applyAlignment="1">
      <alignment horizontal="right" vertical="center"/>
    </xf>
    <xf numFmtId="172" fontId="16" fillId="13" borderId="56" xfId="1" applyNumberFormat="1" applyFont="1" applyFill="1" applyBorder="1" applyAlignment="1">
      <alignment horizontal="right" vertical="center"/>
    </xf>
    <xf numFmtId="174" fontId="20" fillId="0" borderId="74" xfId="0" applyNumberFormat="1" applyFont="1" applyBorder="1" applyAlignment="1">
      <alignment horizontal="right" wrapText="1"/>
    </xf>
    <xf numFmtId="172" fontId="16" fillId="13" borderId="62" xfId="1" applyNumberFormat="1" applyFont="1" applyFill="1" applyBorder="1" applyAlignment="1">
      <alignment horizontal="right" vertical="center"/>
    </xf>
    <xf numFmtId="172" fontId="16" fillId="13" borderId="79" xfId="1" applyNumberFormat="1" applyFont="1" applyFill="1" applyBorder="1" applyAlignment="1">
      <alignment horizontal="right" vertical="center"/>
    </xf>
    <xf numFmtId="172" fontId="16" fillId="13" borderId="82" xfId="1" applyNumberFormat="1" applyFont="1" applyFill="1" applyBorder="1" applyAlignment="1">
      <alignment horizontal="right" vertical="center"/>
    </xf>
    <xf numFmtId="172" fontId="22" fillId="0" borderId="136" xfId="1" applyNumberFormat="1" applyFont="1" applyBorder="1" applyAlignment="1" applyProtection="1">
      <alignment vertical="center"/>
    </xf>
    <xf numFmtId="172" fontId="22" fillId="0" borderId="98" xfId="1" applyNumberFormat="1" applyFont="1" applyBorder="1" applyAlignment="1" applyProtection="1">
      <alignment vertical="center"/>
    </xf>
    <xf numFmtId="175" fontId="16" fillId="13" borderId="89" xfId="1" applyNumberFormat="1" applyFont="1" applyFill="1" applyBorder="1" applyAlignment="1">
      <alignment horizontal="right" vertical="center"/>
    </xf>
    <xf numFmtId="172" fontId="16" fillId="0" borderId="78" xfId="1" applyNumberFormat="1" applyFont="1" applyFill="1" applyBorder="1" applyAlignment="1">
      <alignment horizontal="right" vertical="center"/>
    </xf>
    <xf numFmtId="172" fontId="16" fillId="13" borderId="55" xfId="1" applyNumberFormat="1" applyFont="1" applyFill="1" applyBorder="1" applyAlignment="1">
      <alignment horizontal="right" vertical="center"/>
    </xf>
    <xf numFmtId="172" fontId="16" fillId="13" borderId="106" xfId="1" applyNumberFormat="1" applyFont="1" applyFill="1" applyBorder="1" applyAlignment="1">
      <alignment horizontal="right" vertical="center"/>
    </xf>
    <xf numFmtId="174" fontId="0" fillId="13" borderId="74" xfId="0" applyNumberFormat="1" applyFill="1" applyBorder="1"/>
    <xf numFmtId="172" fontId="16" fillId="13" borderId="69" xfId="1" applyNumberFormat="1" applyFont="1" applyFill="1" applyBorder="1" applyAlignment="1">
      <alignment horizontal="center" vertical="center"/>
    </xf>
    <xf numFmtId="172" fontId="16" fillId="0" borderId="64" xfId="1" applyNumberFormat="1" applyFont="1" applyFill="1" applyBorder="1" applyAlignment="1">
      <alignment horizontal="right" vertical="center"/>
    </xf>
    <xf numFmtId="172" fontId="16" fillId="13" borderId="55" xfId="0" applyNumberFormat="1" applyFont="1" applyFill="1" applyBorder="1" applyAlignment="1">
      <alignment horizontal="right" vertical="center"/>
    </xf>
    <xf numFmtId="172" fontId="16" fillId="0" borderId="89" xfId="1" applyNumberFormat="1" applyFont="1" applyFill="1" applyBorder="1" applyAlignment="1">
      <alignment horizontal="right" vertical="center"/>
    </xf>
    <xf numFmtId="172" fontId="16" fillId="13" borderId="77" xfId="1" applyNumberFormat="1" applyFont="1" applyFill="1" applyBorder="1" applyAlignment="1">
      <alignment horizontal="right" vertical="center"/>
    </xf>
    <xf numFmtId="3" fontId="16" fillId="12" borderId="116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30" fillId="13" borderId="0" xfId="0" applyFont="1" applyFill="1" applyAlignment="1">
      <alignment vertical="center"/>
    </xf>
    <xf numFmtId="4" fontId="20" fillId="0" borderId="62" xfId="0" applyNumberFormat="1" applyFont="1" applyBorder="1" applyProtection="1">
      <protection locked="0"/>
    </xf>
    <xf numFmtId="3" fontId="28" fillId="0" borderId="140" xfId="0" applyNumberFormat="1" applyFont="1" applyBorder="1" applyAlignment="1" applyProtection="1">
      <alignment vertical="center"/>
      <protection locked="0"/>
    </xf>
    <xf numFmtId="172" fontId="16" fillId="0" borderId="72" xfId="1" applyNumberFormat="1" applyFont="1" applyFill="1" applyBorder="1" applyAlignment="1">
      <alignment horizontal="right" vertical="center"/>
    </xf>
    <xf numFmtId="4" fontId="20" fillId="0" borderId="64" xfId="0" applyNumberFormat="1" applyFont="1" applyBorder="1" applyProtection="1">
      <protection locked="0"/>
    </xf>
    <xf numFmtId="4" fontId="16" fillId="0" borderId="71" xfId="0" applyNumberFormat="1" applyFont="1" applyBorder="1" applyAlignment="1">
      <alignment horizontal="right" vertical="center"/>
    </xf>
    <xf numFmtId="0" fontId="16" fillId="13" borderId="58" xfId="1" applyNumberFormat="1" applyFont="1" applyFill="1" applyBorder="1" applyAlignment="1">
      <alignment horizontal="right" vertical="center"/>
    </xf>
    <xf numFmtId="37" fontId="16" fillId="0" borderId="58" xfId="1" applyNumberFormat="1" applyFont="1" applyFill="1" applyBorder="1" applyAlignment="1">
      <alignment horizontal="right" vertical="center"/>
    </xf>
    <xf numFmtId="4" fontId="16" fillId="0" borderId="100" xfId="0" applyNumberFormat="1" applyFont="1" applyBorder="1" applyAlignment="1">
      <alignment horizontal="right" vertical="center"/>
    </xf>
    <xf numFmtId="0" fontId="16" fillId="0" borderId="71" xfId="0" applyFont="1" applyBorder="1" applyAlignment="1">
      <alignment horizontal="right" vertical="center"/>
    </xf>
    <xf numFmtId="165" fontId="16" fillId="0" borderId="56" xfId="0" applyNumberFormat="1" applyFont="1" applyBorder="1"/>
    <xf numFmtId="4" fontId="16" fillId="0" borderId="83" xfId="0" applyNumberFormat="1" applyFont="1" applyBorder="1" applyAlignment="1">
      <alignment horizontal="right" vertical="center"/>
    </xf>
    <xf numFmtId="4" fontId="16" fillId="0" borderId="5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2" fontId="16" fillId="0" borderId="69" xfId="1" applyNumberFormat="1" applyFont="1" applyFill="1" applyBorder="1" applyAlignment="1">
      <alignment horizontal="center" vertical="center"/>
    </xf>
    <xf numFmtId="165" fontId="16" fillId="13" borderId="96" xfId="1" applyNumberFormat="1" applyFont="1" applyFill="1" applyBorder="1" applyAlignment="1">
      <alignment horizontal="right" vertical="center"/>
    </xf>
    <xf numFmtId="0" fontId="15" fillId="12" borderId="35" xfId="0" applyFont="1" applyFill="1" applyBorder="1" applyAlignment="1">
      <alignment horizontal="center" vertical="center"/>
    </xf>
    <xf numFmtId="0" fontId="16" fillId="12" borderId="41" xfId="0" applyFont="1" applyFill="1" applyBorder="1" applyAlignment="1">
      <alignment horizontal="center" vertical="center"/>
    </xf>
    <xf numFmtId="0" fontId="16" fillId="12" borderId="46" xfId="0" applyFont="1" applyFill="1" applyBorder="1" applyAlignment="1">
      <alignment horizontal="center" vertical="center"/>
    </xf>
    <xf numFmtId="0" fontId="15" fillId="12" borderId="36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7" xfId="0" applyFont="1" applyFill="1" applyBorder="1" applyAlignment="1">
      <alignment horizontal="center" vertical="center"/>
    </xf>
    <xf numFmtId="0" fontId="15" fillId="12" borderId="37" xfId="0" quotePrefix="1" applyFont="1" applyFill="1" applyBorder="1" applyAlignment="1">
      <alignment horizontal="center" vertical="center"/>
    </xf>
    <xf numFmtId="0" fontId="16" fillId="12" borderId="38" xfId="0" applyFont="1" applyFill="1" applyBorder="1" applyAlignment="1">
      <alignment horizontal="center" vertical="center"/>
    </xf>
    <xf numFmtId="0" fontId="16" fillId="12" borderId="43" xfId="0" applyFont="1" applyFill="1" applyBorder="1" applyAlignment="1">
      <alignment horizontal="center" vertical="center"/>
    </xf>
    <xf numFmtId="0" fontId="16" fillId="12" borderId="44" xfId="0" applyFont="1" applyFill="1" applyBorder="1" applyAlignment="1">
      <alignment horizontal="center" vertical="center"/>
    </xf>
    <xf numFmtId="0" fontId="15" fillId="12" borderId="40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7" fillId="12" borderId="36" xfId="0" applyFont="1" applyFill="1" applyBorder="1" applyAlignment="1">
      <alignment horizontal="center" vertical="center"/>
    </xf>
    <xf numFmtId="0" fontId="16" fillId="12" borderId="47" xfId="0" applyFont="1" applyFill="1" applyBorder="1" applyAlignment="1">
      <alignment horizontal="center" vertical="center"/>
    </xf>
    <xf numFmtId="0" fontId="19" fillId="13" borderId="50" xfId="0" quotePrefix="1" applyFont="1" applyFill="1" applyBorder="1" applyAlignment="1">
      <alignment horizontal="center" vertical="center"/>
    </xf>
    <xf numFmtId="0" fontId="19" fillId="13" borderId="51" xfId="0" quotePrefix="1" applyFont="1" applyFill="1" applyBorder="1" applyAlignment="1">
      <alignment horizontal="center" vertical="center"/>
    </xf>
    <xf numFmtId="0" fontId="19" fillId="13" borderId="52" xfId="0" quotePrefix="1" applyFont="1" applyFill="1" applyBorder="1" applyAlignment="1">
      <alignment horizontal="center" vertical="center"/>
    </xf>
    <xf numFmtId="0" fontId="15" fillId="13" borderId="35" xfId="0" applyFont="1" applyFill="1" applyBorder="1" applyAlignment="1">
      <alignment horizontal="center" vertical="center"/>
    </xf>
    <xf numFmtId="0" fontId="15" fillId="13" borderId="61" xfId="0" applyFont="1" applyFill="1" applyBorder="1" applyAlignment="1">
      <alignment horizontal="center" vertical="center"/>
    </xf>
    <xf numFmtId="165" fontId="16" fillId="13" borderId="57" xfId="1" applyNumberFormat="1" applyFont="1" applyFill="1" applyBorder="1" applyAlignment="1">
      <alignment horizontal="right" vertical="center"/>
    </xf>
    <xf numFmtId="165" fontId="16" fillId="13" borderId="65" xfId="1" applyNumberFormat="1" applyFont="1" applyFill="1" applyBorder="1" applyAlignment="1">
      <alignment horizontal="right" vertical="center"/>
    </xf>
    <xf numFmtId="165" fontId="16" fillId="0" borderId="59" xfId="1" applyNumberFormat="1" applyFont="1" applyFill="1" applyBorder="1" applyAlignment="1">
      <alignment horizontal="right" vertical="center"/>
    </xf>
    <xf numFmtId="165" fontId="16" fillId="0" borderId="66" xfId="1" applyNumberFormat="1" applyFont="1" applyFill="1" applyBorder="1" applyAlignment="1">
      <alignment horizontal="right" vertical="center"/>
    </xf>
    <xf numFmtId="0" fontId="15" fillId="13" borderId="70" xfId="0" applyFont="1" applyFill="1" applyBorder="1" applyAlignment="1">
      <alignment horizontal="center" vertical="center"/>
    </xf>
    <xf numFmtId="165" fontId="16" fillId="13" borderId="72" xfId="1" applyNumberFormat="1" applyFont="1" applyFill="1" applyBorder="1" applyAlignment="1">
      <alignment horizontal="right" vertical="center"/>
    </xf>
    <xf numFmtId="165" fontId="16" fillId="13" borderId="78" xfId="1" applyNumberFormat="1" applyFont="1" applyFill="1" applyBorder="1" applyAlignment="1">
      <alignment horizontal="right" vertical="center"/>
    </xf>
    <xf numFmtId="165" fontId="0" fillId="0" borderId="75" xfId="0" applyNumberFormat="1" applyBorder="1" applyAlignment="1">
      <alignment horizontal="right" vertical="center"/>
    </xf>
    <xf numFmtId="165" fontId="0" fillId="0" borderId="140" xfId="0" applyNumberFormat="1" applyBorder="1" applyAlignment="1">
      <alignment horizontal="right" vertical="center"/>
    </xf>
    <xf numFmtId="165" fontId="16" fillId="0" borderId="55" xfId="1" applyNumberFormat="1" applyFont="1" applyFill="1" applyBorder="1" applyAlignment="1">
      <alignment horizontal="right" vertical="center"/>
    </xf>
    <xf numFmtId="165" fontId="16" fillId="0" borderId="65" xfId="1" applyNumberFormat="1" applyFont="1" applyFill="1" applyBorder="1" applyAlignment="1">
      <alignment horizontal="right" vertical="center"/>
    </xf>
    <xf numFmtId="172" fontId="16" fillId="0" borderId="55" xfId="1" applyNumberFormat="1" applyFont="1" applyFill="1" applyBorder="1" applyAlignment="1">
      <alignment horizontal="center" vertical="center"/>
    </xf>
    <xf numFmtId="172" fontId="16" fillId="0" borderId="65" xfId="1" applyNumberFormat="1" applyFont="1" applyFill="1" applyBorder="1" applyAlignment="1">
      <alignment horizontal="center" vertical="center"/>
    </xf>
    <xf numFmtId="165" fontId="16" fillId="0" borderId="141" xfId="1" applyNumberFormat="1" applyFont="1" applyFill="1" applyBorder="1" applyAlignment="1">
      <alignment horizontal="right" vertical="center"/>
    </xf>
    <xf numFmtId="165" fontId="16" fillId="13" borderId="55" xfId="1" applyNumberFormat="1" applyFont="1" applyFill="1" applyBorder="1" applyAlignment="1">
      <alignment horizontal="right" vertical="center"/>
    </xf>
    <xf numFmtId="172" fontId="16" fillId="0" borderId="55" xfId="1" applyNumberFormat="1" applyFont="1" applyFill="1" applyBorder="1" applyAlignment="1">
      <alignment vertical="center"/>
    </xf>
    <xf numFmtId="172" fontId="16" fillId="0" borderId="65" xfId="1" applyNumberFormat="1" applyFont="1" applyFill="1" applyBorder="1" applyAlignment="1">
      <alignment vertical="center"/>
    </xf>
    <xf numFmtId="165" fontId="16" fillId="0" borderId="81" xfId="1" applyNumberFormat="1" applyFont="1" applyFill="1" applyBorder="1" applyAlignment="1">
      <alignment horizontal="right" vertical="center"/>
    </xf>
    <xf numFmtId="0" fontId="21" fillId="13" borderId="90" xfId="0" quotePrefix="1" applyFont="1" applyFill="1" applyBorder="1" applyAlignment="1">
      <alignment horizontal="center" vertical="center"/>
    </xf>
    <xf numFmtId="0" fontId="21" fillId="13" borderId="91" xfId="0" quotePrefix="1" applyFont="1" applyFill="1" applyBorder="1" applyAlignment="1">
      <alignment horizontal="center" vertical="center"/>
    </xf>
    <xf numFmtId="0" fontId="21" fillId="13" borderId="92" xfId="0" quotePrefix="1" applyFont="1" applyFill="1" applyBorder="1" applyAlignment="1">
      <alignment horizontal="center" vertical="center"/>
    </xf>
    <xf numFmtId="0" fontId="19" fillId="13" borderId="107" xfId="0" applyFont="1" applyFill="1" applyBorder="1" applyAlignment="1">
      <alignment horizontal="center" vertical="center"/>
    </xf>
    <xf numFmtId="0" fontId="19" fillId="13" borderId="108" xfId="0" applyFont="1" applyFill="1" applyBorder="1" applyAlignment="1">
      <alignment horizontal="center" vertical="center"/>
    </xf>
    <xf numFmtId="0" fontId="19" fillId="13" borderId="109" xfId="0" applyFont="1" applyFill="1" applyBorder="1" applyAlignment="1">
      <alignment horizontal="center" vertical="center"/>
    </xf>
    <xf numFmtId="0" fontId="21" fillId="13" borderId="143" xfId="0" quotePrefix="1" applyFont="1" applyFill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174" fontId="16" fillId="0" borderId="99" xfId="1" applyNumberFormat="1" applyFont="1" applyFill="1" applyBorder="1" applyAlignment="1">
      <alignment horizontal="right" vertical="center"/>
    </xf>
    <xf numFmtId="174" fontId="0" fillId="0" borderId="101" xfId="0" applyNumberFormat="1" applyBorder="1"/>
    <xf numFmtId="165" fontId="16" fillId="13" borderId="73" xfId="1" applyNumberFormat="1" applyFont="1" applyFill="1" applyBorder="1" applyAlignment="1">
      <alignment vertical="center"/>
    </xf>
    <xf numFmtId="165" fontId="16" fillId="13" borderId="82" xfId="1" applyNumberFormat="1" applyFont="1" applyFill="1" applyBorder="1" applyAlignment="1">
      <alignment vertical="center"/>
    </xf>
    <xf numFmtId="3" fontId="16" fillId="13" borderId="55" xfId="1" applyNumberFormat="1" applyFont="1" applyFill="1" applyBorder="1" applyAlignment="1">
      <alignment horizontal="right" vertical="center"/>
    </xf>
    <xf numFmtId="3" fontId="16" fillId="13" borderId="65" xfId="1" applyNumberFormat="1" applyFont="1" applyFill="1" applyBorder="1" applyAlignment="1">
      <alignment horizontal="right" vertical="center"/>
    </xf>
    <xf numFmtId="1" fontId="16" fillId="0" borderId="55" xfId="1" applyNumberFormat="1" applyFont="1" applyFill="1" applyBorder="1" applyAlignment="1">
      <alignment horizontal="right" vertical="center" wrapText="1"/>
    </xf>
    <xf numFmtId="1" fontId="0" fillId="0" borderId="65" xfId="0" applyNumberFormat="1" applyBorder="1" applyAlignment="1">
      <alignment horizontal="right"/>
    </xf>
    <xf numFmtId="165" fontId="16" fillId="13" borderId="55" xfId="1" applyNumberFormat="1" applyFont="1" applyFill="1" applyBorder="1" applyAlignment="1">
      <alignment vertical="center"/>
    </xf>
    <xf numFmtId="165" fontId="16" fillId="13" borderId="65" xfId="1" applyNumberFormat="1" applyFont="1" applyFill="1" applyBorder="1" applyAlignment="1">
      <alignment vertical="center"/>
    </xf>
    <xf numFmtId="165" fontId="16" fillId="13" borderId="105" xfId="1" applyNumberFormat="1" applyFont="1" applyFill="1" applyBorder="1" applyAlignment="1">
      <alignment horizontal="right" vertical="center"/>
    </xf>
    <xf numFmtId="165" fontId="16" fillId="0" borderId="55" xfId="1" applyNumberFormat="1" applyFont="1" applyFill="1" applyBorder="1" applyAlignment="1">
      <alignment horizontal="center" vertical="center"/>
    </xf>
    <xf numFmtId="165" fontId="16" fillId="0" borderId="65" xfId="1" applyNumberFormat="1" applyFont="1" applyFill="1" applyBorder="1" applyAlignment="1">
      <alignment horizontal="center" vertical="center"/>
    </xf>
    <xf numFmtId="165" fontId="16" fillId="0" borderId="113" xfId="1" applyNumberFormat="1" applyFont="1" applyFill="1" applyBorder="1" applyAlignment="1">
      <alignment horizontal="right" vertical="center"/>
    </xf>
    <xf numFmtId="165" fontId="16" fillId="0" borderId="115" xfId="1" applyNumberFormat="1" applyFont="1" applyFill="1" applyBorder="1" applyAlignment="1">
      <alignment horizontal="right" vertical="center"/>
    </xf>
    <xf numFmtId="165" fontId="16" fillId="0" borderId="116" xfId="1" applyNumberFormat="1" applyFont="1" applyFill="1" applyBorder="1" applyAlignment="1">
      <alignment horizontal="right" vertical="center"/>
    </xf>
    <xf numFmtId="0" fontId="15" fillId="13" borderId="41" xfId="0" applyFont="1" applyFill="1" applyBorder="1" applyAlignment="1">
      <alignment horizontal="center" vertical="center"/>
    </xf>
    <xf numFmtId="0" fontId="15" fillId="13" borderId="121" xfId="0" applyFont="1" applyFill="1" applyBorder="1" applyAlignment="1">
      <alignment horizontal="center" vertical="center"/>
    </xf>
    <xf numFmtId="165" fontId="16" fillId="13" borderId="55" xfId="1" applyNumberFormat="1" applyFont="1" applyFill="1" applyBorder="1" applyAlignment="1">
      <alignment horizontal="center" vertical="center"/>
    </xf>
    <xf numFmtId="165" fontId="16" fillId="13" borderId="105" xfId="1" applyNumberFormat="1" applyFont="1" applyFill="1" applyBorder="1" applyAlignment="1">
      <alignment horizontal="center" vertical="center"/>
    </xf>
    <xf numFmtId="0" fontId="21" fillId="0" borderId="90" xfId="0" quotePrefix="1" applyFont="1" applyBorder="1" applyAlignment="1">
      <alignment horizontal="center" vertical="center"/>
    </xf>
    <xf numFmtId="0" fontId="21" fillId="0" borderId="91" xfId="0" quotePrefix="1" applyFont="1" applyBorder="1" applyAlignment="1">
      <alignment horizontal="center" vertical="center"/>
    </xf>
    <xf numFmtId="0" fontId="21" fillId="0" borderId="92" xfId="0" quotePrefix="1" applyFont="1" applyBorder="1" applyAlignment="1">
      <alignment horizontal="center" vertical="center"/>
    </xf>
    <xf numFmtId="0" fontId="24" fillId="13" borderId="122" xfId="0" quotePrefix="1" applyFont="1" applyFill="1" applyBorder="1" applyAlignment="1">
      <alignment horizontal="center" vertical="center"/>
    </xf>
    <xf numFmtId="0" fontId="24" fillId="13" borderId="123" xfId="0" quotePrefix="1" applyFont="1" applyFill="1" applyBorder="1" applyAlignment="1">
      <alignment horizontal="center" vertical="center"/>
    </xf>
    <xf numFmtId="0" fontId="24" fillId="13" borderId="124" xfId="0" quotePrefix="1" applyFont="1" applyFill="1" applyBorder="1" applyAlignment="1">
      <alignment horizontal="center" vertical="center"/>
    </xf>
    <xf numFmtId="165" fontId="16" fillId="13" borderId="57" xfId="1" applyNumberFormat="1" applyFont="1" applyFill="1" applyBorder="1" applyAlignment="1">
      <alignment horizontal="center" vertical="center"/>
    </xf>
    <xf numFmtId="165" fontId="16" fillId="13" borderId="65" xfId="1" applyNumberFormat="1" applyFont="1" applyFill="1" applyBorder="1" applyAlignment="1">
      <alignment horizontal="center" vertical="center"/>
    </xf>
    <xf numFmtId="165" fontId="16" fillId="13" borderId="59" xfId="1" applyNumberFormat="1" applyFont="1" applyFill="1" applyBorder="1" applyAlignment="1">
      <alignment horizontal="right" vertical="center"/>
    </xf>
    <xf numFmtId="165" fontId="16" fillId="13" borderId="66" xfId="1" applyNumberFormat="1" applyFont="1" applyFill="1" applyBorder="1" applyAlignment="1">
      <alignment horizontal="right" vertical="center"/>
    </xf>
    <xf numFmtId="165" fontId="16" fillId="13" borderId="72" xfId="1" applyNumberFormat="1" applyFont="1" applyFill="1" applyBorder="1" applyAlignment="1">
      <alignment horizontal="center" vertical="center"/>
    </xf>
    <xf numFmtId="165" fontId="16" fillId="13" borderId="78" xfId="1" applyNumberFormat="1" applyFont="1" applyFill="1" applyBorder="1" applyAlignment="1">
      <alignment horizontal="center" vertical="center"/>
    </xf>
    <xf numFmtId="165" fontId="0" fillId="0" borderId="80" xfId="0" applyNumberFormat="1" applyBorder="1" applyAlignment="1">
      <alignment horizontal="right" vertical="center"/>
    </xf>
    <xf numFmtId="172" fontId="16" fillId="13" borderId="55" xfId="1" applyNumberFormat="1" applyFont="1" applyFill="1" applyBorder="1" applyAlignment="1">
      <alignment horizontal="center" vertical="center"/>
    </xf>
    <xf numFmtId="172" fontId="16" fillId="13" borderId="65" xfId="1" applyNumberFormat="1" applyFont="1" applyFill="1" applyBorder="1" applyAlignment="1">
      <alignment horizontal="center" vertical="center"/>
    </xf>
    <xf numFmtId="165" fontId="16" fillId="0" borderId="132" xfId="1" applyNumberFormat="1" applyFont="1" applyFill="1" applyBorder="1" applyAlignment="1">
      <alignment horizontal="right" vertical="center"/>
    </xf>
    <xf numFmtId="172" fontId="16" fillId="13" borderId="55" xfId="1" applyNumberFormat="1" applyFont="1" applyFill="1" applyBorder="1" applyAlignment="1">
      <alignment vertical="center"/>
    </xf>
    <xf numFmtId="172" fontId="16" fillId="13" borderId="65" xfId="1" applyNumberFormat="1" applyFont="1" applyFill="1" applyBorder="1" applyAlignment="1">
      <alignment vertical="center"/>
    </xf>
    <xf numFmtId="165" fontId="16" fillId="0" borderId="69" xfId="1" applyNumberFormat="1" applyFont="1" applyFill="1" applyBorder="1" applyAlignment="1">
      <alignment horizontal="right" vertical="center"/>
    </xf>
    <xf numFmtId="3" fontId="16" fillId="14" borderId="87" xfId="0" applyNumberFormat="1" applyFont="1" applyFill="1" applyBorder="1" applyAlignment="1">
      <alignment horizontal="center" vertical="center"/>
    </xf>
    <xf numFmtId="3" fontId="16" fillId="14" borderId="88" xfId="0" applyNumberFormat="1" applyFont="1" applyFill="1" applyBorder="1" applyAlignment="1">
      <alignment horizontal="center" vertical="center"/>
    </xf>
    <xf numFmtId="0" fontId="19" fillId="13" borderId="107" xfId="0" quotePrefix="1" applyFont="1" applyFill="1" applyBorder="1" applyAlignment="1">
      <alignment horizontal="center" vertical="center"/>
    </xf>
    <xf numFmtId="0" fontId="19" fillId="13" borderId="108" xfId="0" quotePrefix="1" applyFont="1" applyFill="1" applyBorder="1" applyAlignment="1">
      <alignment horizontal="center" vertical="center"/>
    </xf>
    <xf numFmtId="0" fontId="19" fillId="13" borderId="109" xfId="0" quotePrefix="1" applyFont="1" applyFill="1" applyBorder="1" applyAlignment="1">
      <alignment horizontal="center" vertical="center"/>
    </xf>
    <xf numFmtId="174" fontId="16" fillId="0" borderId="101" xfId="1" applyNumberFormat="1" applyFont="1" applyFill="1" applyBorder="1" applyAlignment="1">
      <alignment horizontal="right" vertical="center"/>
    </xf>
    <xf numFmtId="165" fontId="16" fillId="13" borderId="133" xfId="1" applyNumberFormat="1" applyFont="1" applyFill="1" applyBorder="1" applyAlignment="1">
      <alignment vertical="center"/>
    </xf>
    <xf numFmtId="165" fontId="16" fillId="13" borderId="134" xfId="1" applyNumberFormat="1" applyFont="1" applyFill="1" applyBorder="1" applyAlignment="1">
      <alignment vertical="center"/>
    </xf>
    <xf numFmtId="1" fontId="16" fillId="0" borderId="65" xfId="1" applyNumberFormat="1" applyFont="1" applyFill="1" applyBorder="1" applyAlignment="1">
      <alignment horizontal="right" vertical="center" wrapText="1"/>
    </xf>
    <xf numFmtId="165" fontId="16" fillId="0" borderId="55" xfId="1" applyNumberFormat="1" applyFont="1" applyFill="1" applyBorder="1" applyAlignment="1">
      <alignment vertical="center"/>
    </xf>
    <xf numFmtId="165" fontId="16" fillId="0" borderId="65" xfId="1" applyNumberFormat="1" applyFont="1" applyFill="1" applyBorder="1" applyAlignment="1">
      <alignment vertical="center"/>
    </xf>
    <xf numFmtId="165" fontId="16" fillId="0" borderId="105" xfId="1" applyNumberFormat="1" applyFont="1" applyFill="1" applyBorder="1" applyAlignment="1">
      <alignment horizontal="right" vertical="center"/>
    </xf>
    <xf numFmtId="165" fontId="16" fillId="0" borderId="105" xfId="1" applyNumberFormat="1" applyFont="1" applyFill="1" applyBorder="1" applyAlignment="1">
      <alignment horizontal="center" vertical="center"/>
    </xf>
    <xf numFmtId="165" fontId="16" fillId="0" borderId="57" xfId="1" applyNumberFormat="1" applyFont="1" applyFill="1" applyBorder="1" applyAlignment="1">
      <alignment horizontal="right" vertical="center"/>
    </xf>
    <xf numFmtId="165" fontId="16" fillId="0" borderId="135" xfId="1" applyNumberFormat="1" applyFont="1" applyFill="1" applyBorder="1" applyAlignment="1">
      <alignment horizontal="right" vertical="center"/>
    </xf>
    <xf numFmtId="165" fontId="16" fillId="0" borderId="134" xfId="1" applyNumberFormat="1" applyFont="1" applyFill="1" applyBorder="1" applyAlignment="1">
      <alignment horizontal="right" vertical="center"/>
    </xf>
    <xf numFmtId="165" fontId="16" fillId="0" borderId="133" xfId="1" applyNumberFormat="1" applyFont="1" applyFill="1" applyBorder="1" applyAlignment="1">
      <alignment horizontal="right" vertical="center"/>
    </xf>
    <xf numFmtId="165" fontId="16" fillId="0" borderId="72" xfId="1" applyNumberFormat="1" applyFont="1" applyFill="1" applyBorder="1" applyAlignment="1">
      <alignment horizontal="right" vertical="center"/>
    </xf>
    <xf numFmtId="165" fontId="16" fillId="0" borderId="78" xfId="1" applyNumberFormat="1" applyFont="1" applyFill="1" applyBorder="1" applyAlignment="1">
      <alignment horizontal="right" vertical="center"/>
    </xf>
    <xf numFmtId="2" fontId="16" fillId="13" borderId="55" xfId="1" applyNumberFormat="1" applyFont="1" applyFill="1" applyBorder="1" applyAlignment="1">
      <alignment vertical="center"/>
    </xf>
    <xf numFmtId="2" fontId="16" fillId="13" borderId="65" xfId="1" applyNumberFormat="1" applyFont="1" applyFill="1" applyBorder="1" applyAlignment="1">
      <alignment vertical="center"/>
    </xf>
    <xf numFmtId="37" fontId="16" fillId="0" borderId="99" xfId="1" applyNumberFormat="1" applyFont="1" applyFill="1" applyBorder="1" applyAlignment="1">
      <alignment horizontal="right" vertical="center"/>
    </xf>
    <xf numFmtId="37" fontId="0" fillId="0" borderId="101" xfId="0" applyNumberFormat="1" applyBorder="1"/>
    <xf numFmtId="172" fontId="16" fillId="0" borderId="55" xfId="1" applyNumberFormat="1" applyFont="1" applyFill="1" applyBorder="1" applyAlignment="1">
      <alignment horizontal="right" vertical="center" wrapText="1"/>
    </xf>
    <xf numFmtId="172" fontId="0" fillId="0" borderId="65" xfId="0" applyNumberFormat="1" applyBorder="1" applyAlignment="1">
      <alignment horizontal="right"/>
    </xf>
    <xf numFmtId="165" fontId="0" fillId="0" borderId="65" xfId="0" applyNumberFormat="1" applyBorder="1"/>
    <xf numFmtId="1" fontId="16" fillId="3" borderId="55" xfId="1" applyNumberFormat="1" applyFont="1" applyFill="1" applyBorder="1" applyAlignment="1">
      <alignment vertical="center"/>
    </xf>
    <xf numFmtId="1" fontId="16" fillId="3" borderId="65" xfId="1" applyNumberFormat="1" applyFont="1" applyFill="1" applyBorder="1" applyAlignment="1">
      <alignment vertical="center"/>
    </xf>
    <xf numFmtId="0" fontId="13" fillId="11" borderId="16" xfId="0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0" fontId="11" fillId="9" borderId="30" xfId="0" applyFont="1" applyFill="1" applyBorder="1" applyAlignment="1">
      <alignment horizontal="center" vertical="center"/>
    </xf>
    <xf numFmtId="0" fontId="11" fillId="9" borderId="31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3" fontId="10" fillId="10" borderId="21" xfId="0" applyNumberFormat="1" applyFont="1" applyFill="1" applyBorder="1" applyAlignment="1">
      <alignment horizontal="center" vertical="center"/>
    </xf>
    <xf numFmtId="3" fontId="10" fillId="10" borderId="13" xfId="0" applyNumberFormat="1" applyFont="1" applyFill="1" applyBorder="1" applyAlignment="1">
      <alignment horizontal="center" vertical="center"/>
    </xf>
    <xf numFmtId="3" fontId="10" fillId="10" borderId="15" xfId="0" applyNumberFormat="1" applyFont="1" applyFill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3" fontId="7" fillId="5" borderId="125" xfId="0" applyNumberFormat="1" applyFont="1" applyFill="1" applyBorder="1" applyAlignment="1">
      <alignment horizontal="center" vertical="center"/>
    </xf>
    <xf numFmtId="3" fontId="7" fillId="0" borderId="125" xfId="0" applyNumberFormat="1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5" fillId="6" borderId="125" xfId="0" applyFont="1" applyFill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27" fillId="4" borderId="125" xfId="0" applyFont="1" applyFill="1" applyBorder="1" applyAlignment="1">
      <alignment horizontal="center" vertical="center" textRotation="90"/>
    </xf>
    <xf numFmtId="0" fontId="6" fillId="0" borderId="126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0" fontId="26" fillId="0" borderId="127" xfId="0" applyFont="1" applyBorder="1" applyAlignment="1">
      <alignment horizontal="center" vertical="center"/>
    </xf>
    <xf numFmtId="0" fontId="30" fillId="13" borderId="144" xfId="0" applyFont="1" applyFill="1" applyBorder="1" applyAlignment="1">
      <alignment horizontal="center" vertical="center"/>
    </xf>
    <xf numFmtId="0" fontId="30" fillId="13" borderId="0" xfId="0" applyFont="1" applyFill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4" fontId="0" fillId="0" borderId="0" xfId="0" applyNumberFormat="1" applyBorder="1"/>
    <xf numFmtId="167" fontId="0" fillId="0" borderId="0" xfId="0" applyNumberFormat="1" applyBorder="1"/>
    <xf numFmtId="4" fontId="25" fillId="0" borderId="0" xfId="0" applyNumberFormat="1" applyFont="1" applyBorder="1"/>
    <xf numFmtId="165" fontId="0" fillId="0" borderId="0" xfId="0" applyNumberFormat="1" applyBorder="1"/>
    <xf numFmtId="3" fontId="16" fillId="0" borderId="0" xfId="0" applyNumberFormat="1" applyFont="1" applyBorder="1" applyAlignment="1">
      <alignment horizontal="right" vertical="center"/>
    </xf>
    <xf numFmtId="3" fontId="16" fillId="12" borderId="0" xfId="0" applyNumberFormat="1" applyFont="1" applyFill="1" applyBorder="1" applyAlignment="1">
      <alignment horizontal="right" vertical="center"/>
    </xf>
    <xf numFmtId="0" fontId="15" fillId="12" borderId="0" xfId="0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0" fontId="15" fillId="12" borderId="0" xfId="0" quotePrefix="1" applyFont="1" applyFill="1" applyBorder="1" applyAlignment="1">
      <alignment horizontal="center" vertical="center"/>
    </xf>
    <xf numFmtId="0" fontId="15" fillId="12" borderId="0" xfId="0" quotePrefix="1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 wrapText="1"/>
    </xf>
    <xf numFmtId="0" fontId="17" fillId="12" borderId="0" xfId="0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horizontal="center" vertical="center"/>
    </xf>
    <xf numFmtId="0" fontId="18" fillId="12" borderId="0" xfId="0" applyFont="1" applyFill="1" applyBorder="1" applyAlignment="1">
      <alignment horizontal="center" vertical="center"/>
    </xf>
    <xf numFmtId="0" fontId="17" fillId="12" borderId="0" xfId="0" quotePrefix="1" applyFont="1" applyFill="1" applyBorder="1" applyAlignment="1">
      <alignment horizontal="center" vertical="center"/>
    </xf>
    <xf numFmtId="0" fontId="19" fillId="13" borderId="0" xfId="0" quotePrefix="1" applyFont="1" applyFill="1" applyBorder="1" applyAlignment="1">
      <alignment horizontal="center" vertical="center"/>
    </xf>
    <xf numFmtId="0" fontId="15" fillId="13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right" vertical="center"/>
    </xf>
    <xf numFmtId="165" fontId="16" fillId="13" borderId="0" xfId="1" applyNumberFormat="1" applyFont="1" applyFill="1" applyBorder="1" applyAlignment="1">
      <alignment horizontal="right" vertical="center"/>
    </xf>
    <xf numFmtId="165" fontId="16" fillId="13" borderId="0" xfId="1" applyNumberFormat="1" applyFont="1" applyFill="1" applyBorder="1" applyAlignment="1">
      <alignment horizontal="right" vertical="center"/>
    </xf>
    <xf numFmtId="172" fontId="16" fillId="0" borderId="0" xfId="1" applyNumberFormat="1" applyFont="1" applyFill="1" applyBorder="1" applyAlignment="1">
      <alignment horizontal="right" vertical="center"/>
    </xf>
    <xf numFmtId="173" fontId="16" fillId="13" borderId="0" xfId="1" applyNumberFormat="1" applyFont="1" applyFill="1" applyBorder="1" applyAlignment="1">
      <alignment horizontal="right" vertical="center"/>
    </xf>
    <xf numFmtId="165" fontId="16" fillId="0" borderId="0" xfId="1" applyNumberFormat="1" applyFont="1" applyFill="1" applyBorder="1" applyAlignment="1">
      <alignment horizontal="right" vertical="center"/>
    </xf>
    <xf numFmtId="166" fontId="16" fillId="13" borderId="0" xfId="0" applyNumberFormat="1" applyFont="1" applyFill="1" applyBorder="1" applyAlignment="1">
      <alignment horizontal="right" vertical="center"/>
    </xf>
    <xf numFmtId="172" fontId="16" fillId="13" borderId="0" xfId="1" applyNumberFormat="1" applyFont="1" applyFill="1" applyBorder="1" applyAlignment="1">
      <alignment horizontal="right" vertical="center"/>
    </xf>
    <xf numFmtId="0" fontId="15" fillId="13" borderId="0" xfId="0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right"/>
    </xf>
    <xf numFmtId="165" fontId="16" fillId="0" borderId="0" xfId="1" applyNumberFormat="1" applyFont="1" applyFill="1" applyBorder="1" applyAlignment="1">
      <alignment horizontal="right" vertical="center"/>
    </xf>
    <xf numFmtId="172" fontId="16" fillId="13" borderId="0" xfId="1" applyNumberFormat="1" applyFont="1" applyFill="1" applyBorder="1" applyAlignment="1">
      <alignment horizontal="center" vertical="center"/>
    </xf>
    <xf numFmtId="172" fontId="16" fillId="0" borderId="0" xfId="1" applyNumberFormat="1" applyFont="1" applyFill="1" applyBorder="1" applyAlignment="1">
      <alignment horizontal="center" vertical="center"/>
    </xf>
    <xf numFmtId="4" fontId="16" fillId="0" borderId="0" xfId="0" applyNumberFormat="1" applyFont="1" applyBorder="1" applyAlignment="1">
      <alignment horizontal="right" vertical="center"/>
    </xf>
    <xf numFmtId="37" fontId="20" fillId="0" borderId="0" xfId="0" applyNumberFormat="1" applyFont="1" applyBorder="1" applyAlignment="1">
      <alignment horizontal="right" wrapText="1"/>
    </xf>
    <xf numFmtId="165" fontId="0" fillId="0" borderId="0" xfId="0" applyNumberFormat="1" applyBorder="1" applyAlignment="1">
      <alignment horizontal="right" vertical="center"/>
    </xf>
    <xf numFmtId="3" fontId="16" fillId="14" borderId="0" xfId="0" applyNumberFormat="1" applyFont="1" applyFill="1" applyBorder="1" applyAlignment="1">
      <alignment horizontal="right" vertical="center"/>
    </xf>
    <xf numFmtId="172" fontId="16" fillId="13" borderId="0" xfId="1" applyNumberFormat="1" applyFont="1" applyFill="1" applyBorder="1" applyAlignment="1">
      <alignment horizontal="center" vertical="center"/>
    </xf>
    <xf numFmtId="1" fontId="16" fillId="3" borderId="0" xfId="1" applyNumberFormat="1" applyFont="1" applyFill="1" applyBorder="1" applyAlignment="1">
      <alignment vertical="center"/>
    </xf>
    <xf numFmtId="0" fontId="16" fillId="13" borderId="0" xfId="1" applyNumberFormat="1" applyFont="1" applyFill="1" applyBorder="1" applyAlignment="1">
      <alignment horizontal="right" vertical="center"/>
    </xf>
    <xf numFmtId="3" fontId="16" fillId="0" borderId="0" xfId="0" applyNumberFormat="1" applyFont="1" applyBorder="1" applyAlignment="1">
      <alignment vertical="center"/>
    </xf>
    <xf numFmtId="0" fontId="21" fillId="13" borderId="0" xfId="0" quotePrefix="1" applyFont="1" applyFill="1" applyBorder="1" applyAlignment="1">
      <alignment horizontal="center" vertical="center"/>
    </xf>
    <xf numFmtId="165" fontId="15" fillId="13" borderId="0" xfId="1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4" fontId="20" fillId="0" borderId="0" xfId="0" applyNumberFormat="1" applyFont="1" applyBorder="1" applyProtection="1">
      <protection locked="0"/>
    </xf>
    <xf numFmtId="3" fontId="20" fillId="0" borderId="0" xfId="0" applyNumberFormat="1" applyFont="1" applyBorder="1" applyProtection="1">
      <protection locked="0"/>
    </xf>
    <xf numFmtId="164" fontId="20" fillId="0" borderId="0" xfId="0" applyNumberFormat="1" applyFont="1" applyBorder="1" applyProtection="1">
      <protection locked="0"/>
    </xf>
    <xf numFmtId="37" fontId="16" fillId="0" borderId="0" xfId="1" applyNumberFormat="1" applyFont="1" applyFill="1" applyBorder="1" applyAlignment="1">
      <alignment horizontal="right" vertical="center"/>
    </xf>
    <xf numFmtId="166" fontId="16" fillId="0" borderId="0" xfId="0" applyNumberFormat="1" applyFont="1" applyBorder="1" applyAlignment="1">
      <alignment horizontal="right" vertical="center"/>
    </xf>
    <xf numFmtId="172" fontId="22" fillId="0" borderId="0" xfId="1" applyNumberFormat="1" applyFont="1" applyBorder="1" applyAlignment="1" applyProtection="1">
      <alignment vertical="center"/>
    </xf>
    <xf numFmtId="0" fontId="15" fillId="0" borderId="0" xfId="0" applyFont="1" applyBorder="1" applyAlignment="1">
      <alignment horizontal="center" vertical="center"/>
    </xf>
    <xf numFmtId="3" fontId="16" fillId="13" borderId="0" xfId="1" applyNumberFormat="1" applyFont="1" applyFill="1" applyBorder="1" applyAlignment="1">
      <alignment horizontal="right" vertical="center"/>
    </xf>
    <xf numFmtId="37" fontId="16" fillId="0" borderId="0" xfId="1" applyNumberFormat="1" applyFont="1" applyFill="1" applyBorder="1" applyAlignment="1">
      <alignment horizontal="right" vertical="center"/>
    </xf>
    <xf numFmtId="38" fontId="16" fillId="13" borderId="0" xfId="1" applyNumberFormat="1" applyFont="1" applyFill="1" applyBorder="1" applyAlignment="1">
      <alignment horizontal="right" vertical="center"/>
    </xf>
    <xf numFmtId="165" fontId="16" fillId="13" borderId="0" xfId="1" applyNumberFormat="1" applyFont="1" applyFill="1" applyBorder="1" applyAlignment="1">
      <alignment vertical="center"/>
    </xf>
    <xf numFmtId="37" fontId="0" fillId="13" borderId="0" xfId="0" applyNumberFormat="1" applyFill="1" applyBorder="1"/>
    <xf numFmtId="3" fontId="16" fillId="13" borderId="0" xfId="1" applyNumberFormat="1" applyFont="1" applyFill="1" applyBorder="1" applyAlignment="1">
      <alignment horizontal="right" vertical="center"/>
    </xf>
    <xf numFmtId="165" fontId="16" fillId="0" borderId="0" xfId="0" applyNumberFormat="1" applyFont="1" applyBorder="1"/>
    <xf numFmtId="172" fontId="16" fillId="0" borderId="0" xfId="1" applyNumberFormat="1" applyFont="1" applyFill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165" fontId="16" fillId="0" borderId="0" xfId="0" applyNumberFormat="1" applyFont="1" applyBorder="1" applyAlignment="1">
      <alignment horizontal="right" vertical="center"/>
    </xf>
    <xf numFmtId="165" fontId="16" fillId="0" borderId="0" xfId="1" applyNumberFormat="1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center"/>
    </xf>
    <xf numFmtId="167" fontId="16" fillId="0" borderId="0" xfId="0" applyNumberFormat="1" applyFont="1" applyBorder="1" applyAlignment="1">
      <alignment horizontal="right" vertical="center"/>
    </xf>
    <xf numFmtId="165" fontId="16" fillId="13" borderId="0" xfId="0" applyNumberFormat="1" applyFont="1" applyFill="1" applyBorder="1" applyAlignment="1">
      <alignment horizontal="right" vertical="center"/>
    </xf>
    <xf numFmtId="0" fontId="17" fillId="0" borderId="0" xfId="0" quotePrefix="1" applyFont="1" applyBorder="1" applyAlignment="1">
      <alignment horizontal="left" vertical="center"/>
    </xf>
    <xf numFmtId="3" fontId="16" fillId="0" borderId="0" xfId="0" applyNumberFormat="1" applyFont="1" applyBorder="1" applyAlignment="1">
      <alignment horizontal="right"/>
    </xf>
    <xf numFmtId="38" fontId="16" fillId="0" borderId="0" xfId="1" applyNumberFormat="1" applyFont="1" applyFill="1" applyBorder="1" applyAlignment="1">
      <alignment horizontal="right" vertical="center"/>
    </xf>
    <xf numFmtId="2" fontId="16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165" fontId="16" fillId="12" borderId="0" xfId="0" applyNumberFormat="1" applyFont="1" applyFill="1" applyBorder="1" applyAlignment="1">
      <alignment horizontal="right" vertical="center"/>
    </xf>
    <xf numFmtId="3" fontId="16" fillId="13" borderId="0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165" fontId="16" fillId="13" borderId="0" xfId="1" applyNumberFormat="1" applyFont="1" applyFill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24" fillId="13" borderId="0" xfId="0" quotePrefix="1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Continuous" vertical="center"/>
    </xf>
    <xf numFmtId="0" fontId="16" fillId="1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6" fontId="16" fillId="13" borderId="0" xfId="0" applyNumberFormat="1" applyFont="1" applyFill="1" applyBorder="1" applyAlignment="1">
      <alignment horizontal="center" vertical="center"/>
    </xf>
    <xf numFmtId="165" fontId="15" fillId="13" borderId="0" xfId="1" applyNumberFormat="1" applyFont="1" applyFill="1" applyBorder="1" applyAlignment="1">
      <alignment horizontal="center" vertical="center"/>
    </xf>
    <xf numFmtId="166" fontId="16" fillId="0" borderId="0" xfId="0" applyNumberFormat="1" applyFont="1" applyBorder="1" applyAlignment="1">
      <alignment horizontal="center" vertical="center"/>
    </xf>
    <xf numFmtId="37" fontId="0" fillId="0" borderId="0" xfId="0" applyNumberFormat="1" applyBorder="1"/>
    <xf numFmtId="172" fontId="0" fillId="0" borderId="0" xfId="0" applyNumberFormat="1" applyBorder="1" applyAlignment="1">
      <alignment horizontal="right"/>
    </xf>
    <xf numFmtId="167" fontId="20" fillId="0" borderId="0" xfId="0" applyNumberFormat="1" applyFont="1" applyBorder="1" applyProtection="1">
      <protection locked="0"/>
    </xf>
    <xf numFmtId="165" fontId="0" fillId="0" borderId="0" xfId="0" applyNumberFormat="1" applyBorder="1"/>
    <xf numFmtId="3" fontId="0" fillId="0" borderId="0" xfId="0" applyNumberFormat="1" applyBorder="1"/>
    <xf numFmtId="166" fontId="0" fillId="0" borderId="0" xfId="0" applyNumberFormat="1" applyBorder="1" applyAlignment="1">
      <alignment horizontal="center"/>
    </xf>
    <xf numFmtId="2" fontId="0" fillId="0" borderId="0" xfId="0" applyNumberFormat="1" applyBorder="1"/>
    <xf numFmtId="3" fontId="28" fillId="0" borderId="0" xfId="0" applyNumberFormat="1" applyFont="1" applyBorder="1" applyAlignment="1" applyProtection="1">
      <alignment vertical="center"/>
      <protection locked="0"/>
    </xf>
    <xf numFmtId="168" fontId="0" fillId="0" borderId="0" xfId="0" applyNumberFormat="1" applyBorder="1"/>
    <xf numFmtId="169" fontId="0" fillId="0" borderId="0" xfId="0" applyNumberFormat="1" applyBorder="1"/>
    <xf numFmtId="0" fontId="0" fillId="3" borderId="0" xfId="0" applyFill="1" applyBorder="1"/>
    <xf numFmtId="0" fontId="4" fillId="6" borderId="0" xfId="0" applyFont="1" applyFill="1" applyBorder="1" applyAlignment="1">
      <alignment horizontal="center" vertical="center" textRotation="90"/>
    </xf>
    <xf numFmtId="0" fontId="5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0" fontId="0" fillId="15" borderId="0" xfId="0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 textRotation="90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" fontId="7" fillId="5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5" borderId="0" xfId="0" applyNumberFormat="1" applyFont="1" applyFill="1" applyBorder="1" applyAlignment="1">
      <alignment horizontal="center" vertical="center"/>
    </xf>
    <xf numFmtId="3" fontId="7" fillId="5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9" fontId="0" fillId="3" borderId="0" xfId="2" applyFont="1" applyFill="1" applyBorder="1"/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2" fontId="7" fillId="5" borderId="0" xfId="2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6" fillId="5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5" borderId="0" xfId="0" applyNumberFormat="1" applyFont="1" applyFill="1" applyBorder="1" applyAlignment="1">
      <alignment horizontal="center" vertical="center"/>
    </xf>
    <xf numFmtId="2" fontId="6" fillId="5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3" fillId="3" borderId="0" xfId="0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0" fontId="7" fillId="5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5" fillId="6" borderId="0" xfId="0" applyFont="1" applyFill="1" applyBorder="1" applyAlignment="1">
      <alignment horizontal="center" vertical="center"/>
    </xf>
    <xf numFmtId="4" fontId="5" fillId="6" borderId="0" xfId="0" applyNumberFormat="1" applyFont="1" applyFill="1" applyBorder="1" applyAlignment="1">
      <alignment horizontal="center" vertical="center"/>
    </xf>
    <xf numFmtId="3" fontId="5" fillId="6" borderId="0" xfId="0" applyNumberFormat="1" applyFont="1" applyFill="1" applyBorder="1" applyAlignment="1">
      <alignment horizontal="center" vertical="center"/>
    </xf>
    <xf numFmtId="2" fontId="5" fillId="6" borderId="0" xfId="0" applyNumberFormat="1" applyFont="1" applyFill="1" applyBorder="1" applyAlignment="1">
      <alignment horizontal="center" vertical="center"/>
    </xf>
    <xf numFmtId="4" fontId="0" fillId="3" borderId="0" xfId="0" applyNumberFormat="1" applyFill="1" applyBorder="1"/>
    <xf numFmtId="10" fontId="0" fillId="3" borderId="0" xfId="2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16"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'Enero-Marzo'!$M$1</c:f>
              <c:strCache>
                <c:ptCount val="1"/>
                <c:pt idx="0">
                  <c:v>Ejecutado (GWh)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'Enero-Marzo'!$L$2:$L$4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'Enero-Marzo'!$M$2:$M$4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6-4C2C-8AF4-190C1192F3BF}"/>
            </c:ext>
          </c:extLst>
        </c:ser>
        <c:ser>
          <c:idx val="1"/>
          <c:order val="1"/>
          <c:tx>
            <c:strRef>
              <c:f>'Enero-Marzo'!$N$1</c:f>
              <c:strCache>
                <c:ptCount val="1"/>
                <c:pt idx="0">
                  <c:v>Proyectado (GWh)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'Enero-Marzo'!$L$2:$L$4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'Enero-Marzo'!$N$2:$N$4</c:f>
              <c:numCache>
                <c:formatCode>0.00</c:formatCode>
                <c:ptCount val="3"/>
                <c:pt idx="0">
                  <c:v>117.84082500976976</c:v>
                </c:pt>
                <c:pt idx="1">
                  <c:v>117.92291672018858</c:v>
                </c:pt>
                <c:pt idx="2">
                  <c:v>121.63659969904741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6-4C2C-8AF4-190C1192F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2236192"/>
        <c:axId val="532228352"/>
      </c:barChart>
      <c:catAx>
        <c:axId val="532236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2228352"/>
        <c:crosses val="autoZero"/>
        <c:auto val="1"/>
        <c:lblAlgn val="ctr"/>
        <c:lblOffset val="100"/>
        <c:noMultiLvlLbl val="0"/>
      </c:catAx>
      <c:valAx>
        <c:axId val="53222835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223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C9-4FE8-9702-C558C447472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C9-4FE8-9702-C558C44747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'Enero-Marzo'!$M$1:$N$1</c:f>
              <c:strCache>
                <c:ptCount val="2"/>
                <c:pt idx="0">
                  <c:v>Ejecutado (GWh)</c:v>
                </c:pt>
                <c:pt idx="1">
                  <c:v>Proyectado (GWh)</c:v>
                </c:pt>
              </c:strCache>
            </c:strRef>
          </c:cat>
          <c:val>
            <c:numRef>
              <c:f>'Enero-Marzo'!$M$14:$N$14</c:f>
              <c:numCache>
                <c:formatCode>#,##0.00</c:formatCode>
                <c:ptCount val="2"/>
                <c:pt idx="0">
                  <c:v>0</c:v>
                </c:pt>
                <c:pt idx="1">
                  <c:v>357.40034142900572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C9-4FE8-9702-C558C4474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1184992"/>
        <c:axId val="381193392"/>
      </c:barChart>
      <c:catAx>
        <c:axId val="38118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1193392"/>
        <c:crosses val="autoZero"/>
        <c:auto val="1"/>
        <c:lblAlgn val="ctr"/>
        <c:lblOffset val="100"/>
        <c:noMultiLvlLbl val="0"/>
      </c:catAx>
      <c:valAx>
        <c:axId val="381193392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118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C3-48A1-BDB3-E65944BA17A6}"/>
              </c:ext>
            </c:extLst>
          </c:dPt>
          <c:dPt>
            <c:idx val="1"/>
            <c:bubble3D val="0"/>
            <c:spPr>
              <a:solidFill>
                <a:schemeClr val="accent5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C3-48A1-BDB3-E65944BA17A6}"/>
              </c:ext>
            </c:extLst>
          </c:dPt>
          <c:dPt>
            <c:idx val="2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C3-48A1-BDB3-E65944BA17A6}"/>
              </c:ext>
            </c:extLst>
          </c:dPt>
          <c:dPt>
            <c:idx val="3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C3-48A1-BDB3-E65944BA17A6}"/>
              </c:ext>
            </c:extLst>
          </c:dPt>
          <c:dPt>
            <c:idx val="4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C3-48A1-BDB3-E65944BA17A6}"/>
              </c:ext>
            </c:extLst>
          </c:dPt>
          <c:dPt>
            <c:idx val="5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C3-48A1-BDB3-E65944BA17A6}"/>
              </c:ext>
            </c:extLst>
          </c:dPt>
          <c:dPt>
            <c:idx val="6"/>
            <c:bubble3D val="0"/>
            <c:spPr>
              <a:solidFill>
                <a:schemeClr val="accent5">
                  <a:shade val="6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5C3-48A1-BDB3-E65944BA17A6}"/>
              </c:ext>
            </c:extLst>
          </c:dPt>
          <c:dPt>
            <c:idx val="7"/>
            <c:bubble3D val="0"/>
            <c:spPr>
              <a:solidFill>
                <a:schemeClr val="accent5">
                  <a:shade val="7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C3-48A1-BDB3-E65944BA17A6}"/>
              </c:ext>
            </c:extLst>
          </c:dPt>
          <c:dPt>
            <c:idx val="8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5C3-48A1-BDB3-E65944BA17A6}"/>
              </c:ext>
            </c:extLst>
          </c:dPt>
          <c:dPt>
            <c:idx val="9"/>
            <c:bubble3D val="0"/>
            <c:spPr>
              <a:solidFill>
                <a:schemeClr val="accent5">
                  <a:shade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5C3-48A1-BDB3-E65944BA17A6}"/>
              </c:ext>
            </c:extLst>
          </c:dPt>
          <c:dPt>
            <c:idx val="10"/>
            <c:bubble3D val="0"/>
            <c:spPr>
              <a:solidFill>
                <a:schemeClr val="accent5">
                  <a:shade val="8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5C3-48A1-BDB3-E65944BA17A6}"/>
              </c:ext>
            </c:extLst>
          </c:dPt>
          <c:dPt>
            <c:idx val="11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5C3-48A1-BDB3-E65944BA17A6}"/>
              </c:ext>
            </c:extLst>
          </c:dPt>
          <c:dPt>
            <c:idx val="12"/>
            <c:bubble3D val="0"/>
            <c:spPr>
              <a:solidFill>
                <a:schemeClr val="accent5">
                  <a:shade val="9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5C3-48A1-BDB3-E65944BA17A6}"/>
              </c:ext>
            </c:extLst>
          </c:dPt>
          <c:dPt>
            <c:idx val="13"/>
            <c:bubble3D val="0"/>
            <c:spPr>
              <a:solidFill>
                <a:schemeClr val="accent5">
                  <a:tint val="9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5C3-48A1-BDB3-E65944BA17A6}"/>
              </c:ext>
            </c:extLst>
          </c:dPt>
          <c:dPt>
            <c:idx val="1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5C3-48A1-BDB3-E65944BA17A6}"/>
              </c:ext>
            </c:extLst>
          </c:dPt>
          <c:dPt>
            <c:idx val="15"/>
            <c:bubble3D val="0"/>
            <c:spPr>
              <a:solidFill>
                <a:schemeClr val="accent5">
                  <a:tint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5C3-48A1-BDB3-E65944BA17A6}"/>
              </c:ext>
            </c:extLst>
          </c:dPt>
          <c:dPt>
            <c:idx val="16"/>
            <c:bubble3D val="0"/>
            <c:spPr>
              <a:solidFill>
                <a:schemeClr val="accent5">
                  <a:tint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5C3-48A1-BDB3-E65944BA17A6}"/>
              </c:ext>
            </c:extLst>
          </c:dPt>
          <c:dPt>
            <c:idx val="17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5C3-48A1-BDB3-E65944BA17A6}"/>
              </c:ext>
            </c:extLst>
          </c:dPt>
          <c:dPt>
            <c:idx val="18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5C3-48A1-BDB3-E65944BA17A6}"/>
              </c:ext>
            </c:extLst>
          </c:dPt>
          <c:dPt>
            <c:idx val="19"/>
            <c:bubble3D val="0"/>
            <c:spPr>
              <a:solidFill>
                <a:schemeClr val="accent5">
                  <a:tint val="6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5C3-48A1-BDB3-E65944BA17A6}"/>
              </c:ext>
            </c:extLst>
          </c:dPt>
          <c:dPt>
            <c:idx val="20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5C3-48A1-BDB3-E65944BA17A6}"/>
              </c:ext>
            </c:extLst>
          </c:dPt>
          <c:dPt>
            <c:idx val="21"/>
            <c:bubble3D val="0"/>
            <c:spPr>
              <a:solidFill>
                <a:schemeClr val="accent5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5C3-48A1-BDB3-E65944BA17A6}"/>
              </c:ext>
            </c:extLst>
          </c:dPt>
          <c:dPt>
            <c:idx val="22"/>
            <c:bubble3D val="0"/>
            <c:spPr>
              <a:solidFill>
                <a:schemeClr val="accent5">
                  <a:tint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5C3-48A1-BDB3-E65944BA17A6}"/>
              </c:ext>
            </c:extLst>
          </c:dPt>
          <c:dPt>
            <c:idx val="23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5C3-48A1-BDB3-E65944BA17A6}"/>
              </c:ext>
            </c:extLst>
          </c:dPt>
          <c:dPt>
            <c:idx val="24"/>
            <c:bubble3D val="0"/>
            <c:spPr>
              <a:solidFill>
                <a:schemeClr val="accent5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5C3-48A1-BDB3-E65944BA17A6}"/>
              </c:ext>
            </c:extLst>
          </c:dPt>
          <c:dPt>
            <c:idx val="25"/>
            <c:bubble3D val="0"/>
            <c:spPr>
              <a:solidFill>
                <a:schemeClr val="accent5">
                  <a:tint val="3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5C3-48A1-BDB3-E65944BA17A6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'Enero-Marzo'!$G$49:$G$65</c:f>
              <c:strCache>
                <c:ptCount val="17"/>
                <c:pt idx="0">
                  <c:v>Centrales Pequeñas</c:v>
                </c:pt>
                <c:pt idx="1">
                  <c:v>Los Toros</c:v>
                </c:pt>
                <c:pt idx="2">
                  <c:v>Sabaneta</c:v>
                </c:pt>
                <c:pt idx="3">
                  <c:v>Las Damas</c:v>
                </c:pt>
                <c:pt idx="4">
                  <c:v>Hatillo</c:v>
                </c:pt>
                <c:pt idx="5">
                  <c:v>Jimenoa</c:v>
                </c:pt>
                <c:pt idx="6">
                  <c:v>Rincón</c:v>
                </c:pt>
                <c:pt idx="7">
                  <c:v>Rio Blanco</c:v>
                </c:pt>
                <c:pt idx="8">
                  <c:v>Sabana Yegua</c:v>
                </c:pt>
                <c:pt idx="9">
                  <c:v>Angostura</c:v>
                </c:pt>
                <c:pt idx="10">
                  <c:v>Pinalito</c:v>
                </c:pt>
                <c:pt idx="11">
                  <c:v>Monción</c:v>
                </c:pt>
                <c:pt idx="12">
                  <c:v>Valdesia</c:v>
                </c:pt>
                <c:pt idx="13">
                  <c:v>Aguacate</c:v>
                </c:pt>
                <c:pt idx="14">
                  <c:v>Palomino</c:v>
                </c:pt>
                <c:pt idx="15">
                  <c:v>Tavera</c:v>
                </c:pt>
                <c:pt idx="16">
                  <c:v>Jigüey</c:v>
                </c:pt>
              </c:strCache>
            </c:strRef>
          </c:cat>
          <c:val>
            <c:numRef>
              <c:f>'Enero-Marzo'!$H$49:$H$65</c:f>
              <c:numCache>
                <c:formatCode>#,##0</c:formatCode>
                <c:ptCount val="17"/>
                <c:pt idx="0">
                  <c:v>13120752</c:v>
                </c:pt>
                <c:pt idx="1">
                  <c:v>9321000</c:v>
                </c:pt>
                <c:pt idx="2">
                  <c:v>10428200</c:v>
                </c:pt>
                <c:pt idx="3">
                  <c:v>2568772</c:v>
                </c:pt>
                <c:pt idx="4">
                  <c:v>#N/A</c:v>
                </c:pt>
                <c:pt idx="5">
                  <c:v>0</c:v>
                </c:pt>
                <c:pt idx="6">
                  <c:v>5710000</c:v>
                </c:pt>
                <c:pt idx="7">
                  <c:v>37418000</c:v>
                </c:pt>
                <c:pt idx="8">
                  <c:v>16989296</c:v>
                </c:pt>
                <c:pt idx="9">
                  <c:v>15287300</c:v>
                </c:pt>
                <c:pt idx="10">
                  <c:v>29440700</c:v>
                </c:pt>
                <c:pt idx="11">
                  <c:v>29802332</c:v>
                </c:pt>
                <c:pt idx="12">
                  <c:v>22313885</c:v>
                </c:pt>
                <c:pt idx="13">
                  <c:v>61492097</c:v>
                </c:pt>
                <c:pt idx="14">
                  <c:v>29369792</c:v>
                </c:pt>
                <c:pt idx="15">
                  <c:v>39630774</c:v>
                </c:pt>
                <c:pt idx="16">
                  <c:v>54412188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95C3-48A1-BDB3-E65944BA17A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'1er Sem'!$M$1</c:f>
              <c:strCache>
                <c:ptCount val="1"/>
                <c:pt idx="0">
                  <c:v>Ejecutado (GWh)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'1er Sem'!$L$2:$L$13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'1er Sem'!$M$2:$M$13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5-4C76-9C7A-1DBE4C889129}"/>
            </c:ext>
          </c:extLst>
        </c:ser>
        <c:ser>
          <c:idx val="1"/>
          <c:order val="1"/>
          <c:tx>
            <c:strRef>
              <c:f>'1er Sem'!$N$1</c:f>
              <c:strCache>
                <c:ptCount val="1"/>
                <c:pt idx="0">
                  <c:v>Proyectado (GWh)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'1er Sem'!$L$2:$L$13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'1er Sem'!$N$2:$N$13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5-4C76-9C7A-1DBE4C88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4049056"/>
        <c:axId val="464049616"/>
      </c:barChart>
      <c:catAx>
        <c:axId val="46404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49616"/>
        <c:crosses val="autoZero"/>
        <c:auto val="1"/>
        <c:lblAlgn val="ctr"/>
        <c:lblOffset val="100"/>
        <c:noMultiLvlLbl val="0"/>
      </c:catAx>
      <c:valAx>
        <c:axId val="46404961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AE-4A77-B865-2CEA8C4039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AE-4A77-B865-2CEA8C4039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'1er Sem'!$M$1:$N$1</c:f>
              <c:strCache>
                <c:ptCount val="2"/>
                <c:pt idx="0">
                  <c:v>Ejecutado (GWh)</c:v>
                </c:pt>
                <c:pt idx="1">
                  <c:v>Proyectado (GWh)</c:v>
                </c:pt>
              </c:strCache>
            </c:strRef>
          </c:cat>
          <c:val>
            <c:numRef>
              <c:f>'1er Sem'!$M$14:$N$14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AE-4A77-B865-2CEA8C403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053536"/>
        <c:axId val="464054096"/>
      </c:barChart>
      <c:catAx>
        <c:axId val="4640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54096"/>
        <c:crosses val="autoZero"/>
        <c:auto val="1"/>
        <c:lblAlgn val="ctr"/>
        <c:lblOffset val="100"/>
        <c:noMultiLvlLbl val="0"/>
      </c:catAx>
      <c:valAx>
        <c:axId val="464054096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5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85-4DAA-A90E-F388080162EE}"/>
              </c:ext>
            </c:extLst>
          </c:dPt>
          <c:dPt>
            <c:idx val="1"/>
            <c:bubble3D val="0"/>
            <c:spPr>
              <a:solidFill>
                <a:schemeClr val="accent5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85-4DAA-A90E-F388080162EE}"/>
              </c:ext>
            </c:extLst>
          </c:dPt>
          <c:dPt>
            <c:idx val="2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85-4DAA-A90E-F388080162EE}"/>
              </c:ext>
            </c:extLst>
          </c:dPt>
          <c:dPt>
            <c:idx val="3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85-4DAA-A90E-F388080162EE}"/>
              </c:ext>
            </c:extLst>
          </c:dPt>
          <c:dPt>
            <c:idx val="4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85-4DAA-A90E-F388080162EE}"/>
              </c:ext>
            </c:extLst>
          </c:dPt>
          <c:dPt>
            <c:idx val="5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385-4DAA-A90E-F388080162EE}"/>
              </c:ext>
            </c:extLst>
          </c:dPt>
          <c:dPt>
            <c:idx val="6"/>
            <c:bubble3D val="0"/>
            <c:spPr>
              <a:solidFill>
                <a:schemeClr val="accent5">
                  <a:shade val="6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385-4DAA-A90E-F388080162EE}"/>
              </c:ext>
            </c:extLst>
          </c:dPt>
          <c:dPt>
            <c:idx val="7"/>
            <c:bubble3D val="0"/>
            <c:spPr>
              <a:solidFill>
                <a:schemeClr val="accent5">
                  <a:shade val="7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385-4DAA-A90E-F388080162EE}"/>
              </c:ext>
            </c:extLst>
          </c:dPt>
          <c:dPt>
            <c:idx val="8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385-4DAA-A90E-F388080162EE}"/>
              </c:ext>
            </c:extLst>
          </c:dPt>
          <c:dPt>
            <c:idx val="9"/>
            <c:bubble3D val="0"/>
            <c:spPr>
              <a:solidFill>
                <a:schemeClr val="accent5">
                  <a:shade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385-4DAA-A90E-F388080162EE}"/>
              </c:ext>
            </c:extLst>
          </c:dPt>
          <c:dPt>
            <c:idx val="10"/>
            <c:bubble3D val="0"/>
            <c:spPr>
              <a:solidFill>
                <a:schemeClr val="accent5">
                  <a:shade val="8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385-4DAA-A90E-F388080162EE}"/>
              </c:ext>
            </c:extLst>
          </c:dPt>
          <c:dPt>
            <c:idx val="11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385-4DAA-A90E-F388080162EE}"/>
              </c:ext>
            </c:extLst>
          </c:dPt>
          <c:dPt>
            <c:idx val="12"/>
            <c:bubble3D val="0"/>
            <c:spPr>
              <a:solidFill>
                <a:schemeClr val="accent5">
                  <a:shade val="9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385-4DAA-A90E-F388080162EE}"/>
              </c:ext>
            </c:extLst>
          </c:dPt>
          <c:dPt>
            <c:idx val="13"/>
            <c:bubble3D val="0"/>
            <c:spPr>
              <a:solidFill>
                <a:schemeClr val="accent5">
                  <a:tint val="9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385-4DAA-A90E-F388080162EE}"/>
              </c:ext>
            </c:extLst>
          </c:dPt>
          <c:dPt>
            <c:idx val="1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385-4DAA-A90E-F388080162EE}"/>
              </c:ext>
            </c:extLst>
          </c:dPt>
          <c:dPt>
            <c:idx val="15"/>
            <c:bubble3D val="0"/>
            <c:spPr>
              <a:solidFill>
                <a:schemeClr val="accent5">
                  <a:tint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385-4DAA-A90E-F388080162EE}"/>
              </c:ext>
            </c:extLst>
          </c:dPt>
          <c:dPt>
            <c:idx val="16"/>
            <c:bubble3D val="0"/>
            <c:spPr>
              <a:solidFill>
                <a:schemeClr val="accent5">
                  <a:tint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385-4DAA-A90E-F388080162EE}"/>
              </c:ext>
            </c:extLst>
          </c:dPt>
          <c:dPt>
            <c:idx val="17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385-4DAA-A90E-F388080162EE}"/>
              </c:ext>
            </c:extLst>
          </c:dPt>
          <c:dPt>
            <c:idx val="18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385-4DAA-A90E-F388080162EE}"/>
              </c:ext>
            </c:extLst>
          </c:dPt>
          <c:dPt>
            <c:idx val="19"/>
            <c:bubble3D val="0"/>
            <c:spPr>
              <a:solidFill>
                <a:schemeClr val="accent5">
                  <a:tint val="6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385-4DAA-A90E-F388080162EE}"/>
              </c:ext>
            </c:extLst>
          </c:dPt>
          <c:dPt>
            <c:idx val="20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385-4DAA-A90E-F388080162EE}"/>
              </c:ext>
            </c:extLst>
          </c:dPt>
          <c:dPt>
            <c:idx val="21"/>
            <c:bubble3D val="0"/>
            <c:spPr>
              <a:solidFill>
                <a:schemeClr val="accent5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385-4DAA-A90E-F388080162EE}"/>
              </c:ext>
            </c:extLst>
          </c:dPt>
          <c:dPt>
            <c:idx val="22"/>
            <c:bubble3D val="0"/>
            <c:spPr>
              <a:solidFill>
                <a:schemeClr val="accent5">
                  <a:tint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385-4DAA-A90E-F388080162EE}"/>
              </c:ext>
            </c:extLst>
          </c:dPt>
          <c:dPt>
            <c:idx val="23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385-4DAA-A90E-F388080162EE}"/>
              </c:ext>
            </c:extLst>
          </c:dPt>
          <c:dPt>
            <c:idx val="24"/>
            <c:bubble3D val="0"/>
            <c:spPr>
              <a:solidFill>
                <a:schemeClr val="accent5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E385-4DAA-A90E-F388080162EE}"/>
              </c:ext>
            </c:extLst>
          </c:dPt>
          <c:dPt>
            <c:idx val="25"/>
            <c:bubble3D val="0"/>
            <c:spPr>
              <a:solidFill>
                <a:schemeClr val="accent5">
                  <a:tint val="3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385-4DAA-A90E-F388080162EE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Sem'!$G$49:$G$65</c:f>
              <c:strCache>
                <c:ptCount val="17"/>
                <c:pt idx="0">
                  <c:v>Centrales Pequeñas</c:v>
                </c:pt>
                <c:pt idx="1">
                  <c:v>Los Toros</c:v>
                </c:pt>
                <c:pt idx="2">
                  <c:v>Sabaneta</c:v>
                </c:pt>
                <c:pt idx="3">
                  <c:v>Las Damas</c:v>
                </c:pt>
                <c:pt idx="4">
                  <c:v>Hatillo</c:v>
                </c:pt>
                <c:pt idx="5">
                  <c:v>Jimenoa</c:v>
                </c:pt>
                <c:pt idx="6">
                  <c:v>Rincón</c:v>
                </c:pt>
                <c:pt idx="7">
                  <c:v>Rio Blanco</c:v>
                </c:pt>
                <c:pt idx="8">
                  <c:v>Sabana Yegua</c:v>
                </c:pt>
                <c:pt idx="9">
                  <c:v>Angostura</c:v>
                </c:pt>
                <c:pt idx="10">
                  <c:v>Pinalito</c:v>
                </c:pt>
                <c:pt idx="11">
                  <c:v>Monción</c:v>
                </c:pt>
                <c:pt idx="12">
                  <c:v>Valdesia</c:v>
                </c:pt>
                <c:pt idx="13">
                  <c:v>Aguacate</c:v>
                </c:pt>
                <c:pt idx="14">
                  <c:v>Palomino</c:v>
                </c:pt>
                <c:pt idx="15">
                  <c:v>Tavera</c:v>
                </c:pt>
                <c:pt idx="16">
                  <c:v>Jigüey</c:v>
                </c:pt>
              </c:strCache>
            </c:strRef>
          </c:cat>
          <c:val>
            <c:numRef>
              <c:f>'1er Sem'!$H$49:$H$65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E385-4DAA-A90E-F388080162E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'Año 2018'!$M$1</c:f>
              <c:strCache>
                <c:ptCount val="1"/>
                <c:pt idx="0">
                  <c:v>Ejecutado (GWh)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'Año 2018'!$L$2:$L$13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'Año 2018'!$M$2:$M$13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1-4091-93BF-99B8AB03794C}"/>
            </c:ext>
          </c:extLst>
        </c:ser>
        <c:ser>
          <c:idx val="1"/>
          <c:order val="1"/>
          <c:tx>
            <c:strRef>
              <c:f>'Año 2018'!$N$1</c:f>
              <c:strCache>
                <c:ptCount val="1"/>
                <c:pt idx="0">
                  <c:v>Proyectado (GWh)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'Año 2018'!$L$2:$L$13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'Año 2018'!$N$2:$N$13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1-4091-93BF-99B8AB037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4049056"/>
        <c:axId val="464049616"/>
      </c:barChart>
      <c:catAx>
        <c:axId val="46404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49616"/>
        <c:crosses val="autoZero"/>
        <c:auto val="1"/>
        <c:lblAlgn val="ctr"/>
        <c:lblOffset val="100"/>
        <c:noMultiLvlLbl val="0"/>
      </c:catAx>
      <c:valAx>
        <c:axId val="46404961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2A-4CE2-9059-787B0868147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2A-4CE2-9059-787B086814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'Año 2018'!$M$1:$N$1</c:f>
              <c:strCache>
                <c:ptCount val="2"/>
                <c:pt idx="0">
                  <c:v>Ejecutado (GWh)</c:v>
                </c:pt>
                <c:pt idx="1">
                  <c:v>Proyectado (GWh)</c:v>
                </c:pt>
              </c:strCache>
            </c:strRef>
          </c:cat>
          <c:val>
            <c:numRef>
              <c:f>'Año 2018'!$M$14:$N$14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A-4CE2-9059-787B08681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053536"/>
        <c:axId val="464054096"/>
      </c:barChart>
      <c:catAx>
        <c:axId val="4640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54096"/>
        <c:crosses val="autoZero"/>
        <c:auto val="1"/>
        <c:lblAlgn val="ctr"/>
        <c:lblOffset val="100"/>
        <c:noMultiLvlLbl val="0"/>
      </c:catAx>
      <c:valAx>
        <c:axId val="464054096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5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BA-4CE5-B640-EB13F2579AA1}"/>
              </c:ext>
            </c:extLst>
          </c:dPt>
          <c:dPt>
            <c:idx val="1"/>
            <c:bubble3D val="0"/>
            <c:spPr>
              <a:solidFill>
                <a:schemeClr val="accent5">
                  <a:tint val="9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BA-4CE5-B640-EB13F2579AA1}"/>
              </c:ext>
            </c:extLst>
          </c:dPt>
          <c:dPt>
            <c:idx val="2"/>
            <c:bubble3D val="0"/>
            <c:spPr>
              <a:solidFill>
                <a:schemeClr val="accent5">
                  <a:tint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BA-4CE5-B640-EB13F2579AA1}"/>
              </c:ext>
            </c:extLst>
          </c:dPt>
          <c:dPt>
            <c:idx val="3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BA-4CE5-B640-EB13F2579AA1}"/>
              </c:ext>
            </c:extLst>
          </c:dPt>
          <c:dPt>
            <c:idx val="4"/>
            <c:bubble3D val="0"/>
            <c:spPr>
              <a:solidFill>
                <a:schemeClr val="accent5">
                  <a:shade val="7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BA-4CE5-B640-EB13F2579AA1}"/>
              </c:ext>
            </c:extLst>
          </c:dPt>
          <c:dPt>
            <c:idx val="5"/>
            <c:bubble3D val="0"/>
            <c:spPr>
              <a:solidFill>
                <a:schemeClr val="accent5">
                  <a:shade val="8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BA-4CE5-B640-EB13F2579AA1}"/>
              </c:ext>
            </c:extLst>
          </c:dPt>
          <c:dPt>
            <c:idx val="6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BA-4CE5-B640-EB13F2579AA1}"/>
              </c:ext>
            </c:extLst>
          </c:dPt>
          <c:dPt>
            <c:idx val="7"/>
            <c:bubble3D val="0"/>
            <c:spPr>
              <a:solidFill>
                <a:schemeClr val="accent5">
                  <a:shade val="9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BA-4CE5-B640-EB13F2579AA1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ABA-4CE5-B640-EB13F2579AA1}"/>
              </c:ext>
            </c:extLst>
          </c:dPt>
          <c:dPt>
            <c:idx val="9"/>
            <c:bubble3D val="0"/>
            <c:spPr>
              <a:solidFill>
                <a:schemeClr val="accent5">
                  <a:shade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ABA-4CE5-B640-EB13F2579AA1}"/>
              </c:ext>
            </c:extLst>
          </c:dPt>
          <c:dPt>
            <c:idx val="10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ABA-4CE5-B640-EB13F2579AA1}"/>
              </c:ext>
            </c:extLst>
          </c:dPt>
          <c:dPt>
            <c:idx val="1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ABA-4CE5-B640-EB13F2579AA1}"/>
              </c:ext>
            </c:extLst>
          </c:dPt>
          <c:dPt>
            <c:idx val="12"/>
            <c:bubble3D val="0"/>
            <c:spPr>
              <a:solidFill>
                <a:schemeClr val="accent5">
                  <a:shade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ABA-4CE5-B640-EB13F2579AA1}"/>
              </c:ext>
            </c:extLst>
          </c:dPt>
          <c:dPt>
            <c:idx val="13"/>
            <c:bubble3D val="0"/>
            <c:spPr>
              <a:solidFill>
                <a:schemeClr val="accent5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ABA-4CE5-B640-EB13F2579AA1}"/>
              </c:ext>
            </c:extLst>
          </c:dPt>
          <c:dPt>
            <c:idx val="14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ABA-4CE5-B640-EB13F2579AA1}"/>
              </c:ext>
            </c:extLst>
          </c:dPt>
          <c:dPt>
            <c:idx val="15"/>
            <c:bubble3D val="0"/>
            <c:spPr>
              <a:solidFill>
                <a:schemeClr val="accent5">
                  <a:shade val="6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ABA-4CE5-B640-EB13F2579AA1}"/>
              </c:ext>
            </c:extLst>
          </c:dPt>
          <c:dPt>
            <c:idx val="16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ABA-4CE5-B640-EB13F2579AA1}"/>
              </c:ext>
            </c:extLst>
          </c:dPt>
          <c:dPt>
            <c:idx val="17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ABA-4CE5-B640-EB13F2579AA1}"/>
              </c:ext>
            </c:extLst>
          </c:dPt>
          <c:dPt>
            <c:idx val="18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ABA-4CE5-B640-EB13F2579AA1}"/>
              </c:ext>
            </c:extLst>
          </c:dPt>
          <c:dPt>
            <c:idx val="19"/>
            <c:bubble3D val="0"/>
            <c:spPr>
              <a:solidFill>
                <a:schemeClr val="accent5">
                  <a:tint val="6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ABA-4CE5-B640-EB13F2579AA1}"/>
              </c:ext>
            </c:extLst>
          </c:dPt>
          <c:dPt>
            <c:idx val="20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ABA-4CE5-B640-EB13F2579AA1}"/>
              </c:ext>
            </c:extLst>
          </c:dPt>
          <c:dPt>
            <c:idx val="21"/>
            <c:bubble3D val="0"/>
            <c:spPr>
              <a:solidFill>
                <a:schemeClr val="accent5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ABA-4CE5-B640-EB13F2579AA1}"/>
              </c:ext>
            </c:extLst>
          </c:dPt>
          <c:dPt>
            <c:idx val="22"/>
            <c:bubble3D val="0"/>
            <c:spPr>
              <a:solidFill>
                <a:schemeClr val="accent5">
                  <a:tint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ABA-4CE5-B640-EB13F2579AA1}"/>
              </c:ext>
            </c:extLst>
          </c:dPt>
          <c:dPt>
            <c:idx val="23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ABA-4CE5-B640-EB13F2579AA1}"/>
              </c:ext>
            </c:extLst>
          </c:dPt>
          <c:dPt>
            <c:idx val="24"/>
            <c:bubble3D val="0"/>
            <c:spPr>
              <a:solidFill>
                <a:schemeClr val="accent5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ABA-4CE5-B640-EB13F2579AA1}"/>
              </c:ext>
            </c:extLst>
          </c:dPt>
          <c:dPt>
            <c:idx val="25"/>
            <c:bubble3D val="0"/>
            <c:spPr>
              <a:solidFill>
                <a:schemeClr val="accent5">
                  <a:tint val="3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ABA-4CE5-B640-EB13F2579AA1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'Año 2018'!$G$49:$G$65</c:f>
              <c:strCache>
                <c:ptCount val="17"/>
                <c:pt idx="0">
                  <c:v>Tavera</c:v>
                </c:pt>
                <c:pt idx="1">
                  <c:v>Aguacate</c:v>
                </c:pt>
                <c:pt idx="2">
                  <c:v>Jigüey</c:v>
                </c:pt>
                <c:pt idx="3">
                  <c:v>Palomino</c:v>
                </c:pt>
                <c:pt idx="4">
                  <c:v>Rio Blanco</c:v>
                </c:pt>
                <c:pt idx="5">
                  <c:v>Pinalito</c:v>
                </c:pt>
                <c:pt idx="6">
                  <c:v>Monción</c:v>
                </c:pt>
                <c:pt idx="7">
                  <c:v>Valdesia</c:v>
                </c:pt>
                <c:pt idx="8">
                  <c:v>Hatillo</c:v>
                </c:pt>
                <c:pt idx="9">
                  <c:v>Angostura</c:v>
                </c:pt>
                <c:pt idx="10">
                  <c:v>Jimenoa</c:v>
                </c:pt>
                <c:pt idx="11">
                  <c:v>Sabana Yegua</c:v>
                </c:pt>
                <c:pt idx="12">
                  <c:v>Centrales Pequeñas</c:v>
                </c:pt>
                <c:pt idx="13">
                  <c:v>Los Toros</c:v>
                </c:pt>
                <c:pt idx="14">
                  <c:v>Sabaneta</c:v>
                </c:pt>
                <c:pt idx="15">
                  <c:v>Rincón</c:v>
                </c:pt>
                <c:pt idx="16">
                  <c:v>Las Damas</c:v>
                </c:pt>
              </c:strCache>
            </c:strRef>
          </c:cat>
          <c:val>
            <c:numRef>
              <c:f>'Año 2018'!$H$49:$H$65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ABA-4CE5-B640-EB13F2579A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0</xdr:rowOff>
    </xdr:from>
    <xdr:to>
      <xdr:col>22</xdr:col>
      <xdr:colOff>495300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266700</xdr:colOff>
      <xdr:row>15</xdr:row>
      <xdr:rowOff>80962</xdr:rowOff>
    </xdr:from>
    <xdr:to>
      <xdr:col>22</xdr:col>
      <xdr:colOff>571500</xdr:colOff>
      <xdr:row>30</xdr:row>
      <xdr:rowOff>60769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414618</xdr:colOff>
      <xdr:row>49</xdr:row>
      <xdr:rowOff>68355</xdr:rowOff>
    </xdr:from>
    <xdr:to>
      <xdr:col>18</xdr:col>
      <xdr:colOff>313763</xdr:colOff>
      <xdr:row>66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0</xdr:rowOff>
    </xdr:from>
    <xdr:to>
      <xdr:col>22</xdr:col>
      <xdr:colOff>495300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266700</xdr:colOff>
      <xdr:row>15</xdr:row>
      <xdr:rowOff>80962</xdr:rowOff>
    </xdr:from>
    <xdr:to>
      <xdr:col>22</xdr:col>
      <xdr:colOff>571500</xdr:colOff>
      <xdr:row>30</xdr:row>
      <xdr:rowOff>60769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414618</xdr:colOff>
      <xdr:row>49</xdr:row>
      <xdr:rowOff>68355</xdr:rowOff>
    </xdr:from>
    <xdr:to>
      <xdr:col>18</xdr:col>
      <xdr:colOff>313763</xdr:colOff>
      <xdr:row>66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433545</xdr:colOff>
      <xdr:row>1</xdr:row>
      <xdr:rowOff>87698</xdr:rowOff>
    </xdr:from>
    <xdr:to>
      <xdr:col>9</xdr:col>
      <xdr:colOff>238776</xdr:colOff>
      <xdr:row>1</xdr:row>
      <xdr:rowOff>737152</xdr:rowOff>
    </xdr:to>
    <xdr:pic>
      <xdr:nvPicPr>
        <xdr:cNvPr id="4" name="Imagen 1" descr="LOGO-EGEHID-clean">
          <a:extLst>
            <a:ext uri="{FF2B5EF4-FFF2-40B4-BE49-F238E27FC236}">
              <a16:creationId xmlns:a16="http://schemas.microsoft.com/office/drawing/2014/main" id="{0B9D8972-F71C-4BF0-A792-49010867C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915" y="452133"/>
          <a:ext cx="2198904" cy="64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82826</xdr:colOff>
      <xdr:row>0</xdr:row>
      <xdr:rowOff>140805</xdr:rowOff>
    </xdr:from>
    <xdr:to>
      <xdr:col>4</xdr:col>
      <xdr:colOff>378487</xdr:colOff>
      <xdr:row>3</xdr:row>
      <xdr:rowOff>13363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2E6EF877-76D9-4599-B502-7F634F4E57C9}"/>
            </a:ext>
          </a:extLst>
        </xdr:cNvPr>
        <xdr:cNvGrpSpPr/>
      </xdr:nvGrpSpPr>
      <xdr:grpSpPr>
        <a:xfrm>
          <a:off x="695739" y="140805"/>
          <a:ext cx="1355835" cy="1529080"/>
          <a:chOff x="0" y="0"/>
          <a:chExt cx="1513205" cy="152908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2AB2205F-EC42-46B7-84F3-A8A7C0A916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513205" cy="15290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3AF121B2-1C7E-4644-B6FE-FA0D6CF585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952500"/>
            <a:ext cx="898525" cy="55118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0</xdr:rowOff>
    </xdr:from>
    <xdr:to>
      <xdr:col>22</xdr:col>
      <xdr:colOff>495300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266700</xdr:colOff>
      <xdr:row>15</xdr:row>
      <xdr:rowOff>80962</xdr:rowOff>
    </xdr:from>
    <xdr:to>
      <xdr:col>22</xdr:col>
      <xdr:colOff>571500</xdr:colOff>
      <xdr:row>30</xdr:row>
      <xdr:rowOff>60769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414618</xdr:colOff>
      <xdr:row>49</xdr:row>
      <xdr:rowOff>68355</xdr:rowOff>
    </xdr:from>
    <xdr:to>
      <xdr:col>18</xdr:col>
      <xdr:colOff>313763</xdr:colOff>
      <xdr:row>66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60</xdr:row>
      <xdr:rowOff>123825</xdr:rowOff>
    </xdr:from>
    <xdr:to>
      <xdr:col>15</xdr:col>
      <xdr:colOff>352425</xdr:colOff>
      <xdr:row>69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65C999-5F29-4EDB-9EC6-166512CAB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150" y="11344275"/>
          <a:ext cx="2362200" cy="1647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11</xdr:col>
      <xdr:colOff>211455</xdr:colOff>
      <xdr:row>4</xdr:row>
      <xdr:rowOff>54610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1966C8-C578-4A8D-BE28-F1ABA0CED9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" y="190500"/>
          <a:ext cx="5612130" cy="626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antana/Desktop/EGEHID/2015/Planificaci&#243;n/Informes/Informe%20de%20Gestion/1er%20Trimestre/Cuadro%20Generaci&#243;n%20enero-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14"/>
      <sheetName val="feb14"/>
      <sheetName val="mar14"/>
      <sheetName val="abr14"/>
      <sheetName val="may14"/>
      <sheetName val="jun14"/>
      <sheetName val="jul14"/>
      <sheetName val="ago14"/>
      <sheetName val="sep14"/>
      <sheetName val="oct14"/>
      <sheetName val="nov14"/>
      <sheetName val="dic14"/>
      <sheetName val="Totales 2014"/>
      <sheetName val="Total 2014 por zona"/>
      <sheetName val="Gen Bruta-hora de Op."/>
    </sheetNames>
    <sheetDataSet>
      <sheetData sheetId="0">
        <row r="2">
          <cell r="D2">
            <v>0</v>
          </cell>
        </row>
        <row r="18">
          <cell r="F18">
            <v>4108800</v>
          </cell>
          <cell r="I18">
            <v>4094213</v>
          </cell>
        </row>
        <row r="25">
          <cell r="F25">
            <v>13690000</v>
          </cell>
        </row>
        <row r="29">
          <cell r="F29">
            <v>12535600</v>
          </cell>
        </row>
        <row r="31">
          <cell r="F31">
            <v>12656650</v>
          </cell>
        </row>
        <row r="33">
          <cell r="F33">
            <v>4563811</v>
          </cell>
        </row>
        <row r="35">
          <cell r="F35">
            <v>17288832</v>
          </cell>
        </row>
        <row r="37">
          <cell r="F37">
            <v>7026742</v>
          </cell>
        </row>
        <row r="39">
          <cell r="F39">
            <v>16710000</v>
          </cell>
        </row>
        <row r="41">
          <cell r="F41">
            <v>16315365</v>
          </cell>
        </row>
      </sheetData>
      <sheetData sheetId="1">
        <row r="2">
          <cell r="D2">
            <v>0</v>
          </cell>
        </row>
        <row r="18">
          <cell r="F18">
            <v>4209600</v>
          </cell>
          <cell r="I18">
            <v>4195588</v>
          </cell>
        </row>
        <row r="25">
          <cell r="F25">
            <v>11829900</v>
          </cell>
        </row>
        <row r="29">
          <cell r="F29">
            <v>8581000</v>
          </cell>
        </row>
        <row r="31">
          <cell r="F31">
            <v>9678884</v>
          </cell>
        </row>
        <row r="33">
          <cell r="F33">
            <v>4165376</v>
          </cell>
        </row>
        <row r="35">
          <cell r="F35">
            <v>16582017</v>
          </cell>
        </row>
        <row r="37">
          <cell r="F37">
            <v>6094008</v>
          </cell>
        </row>
        <row r="39">
          <cell r="F39">
            <v>14846000</v>
          </cell>
        </row>
        <row r="41">
          <cell r="F41">
            <v>14523120</v>
          </cell>
        </row>
      </sheetData>
      <sheetData sheetId="2">
        <row r="2">
          <cell r="D2">
            <v>0</v>
          </cell>
        </row>
        <row r="18">
          <cell r="F18">
            <v>2916000</v>
          </cell>
          <cell r="I18">
            <v>2901585</v>
          </cell>
        </row>
        <row r="25">
          <cell r="F25">
            <v>8721100</v>
          </cell>
        </row>
        <row r="29">
          <cell r="F29">
            <v>7946700</v>
          </cell>
        </row>
        <row r="31">
          <cell r="F31">
            <v>12046407</v>
          </cell>
        </row>
        <row r="33">
          <cell r="F33">
            <v>4710826</v>
          </cell>
        </row>
        <row r="35">
          <cell r="F35">
            <v>15768287</v>
          </cell>
        </row>
        <row r="37">
          <cell r="F37">
            <v>4783432</v>
          </cell>
        </row>
        <row r="39">
          <cell r="F39">
            <v>15656000</v>
          </cell>
        </row>
        <row r="41">
          <cell r="F41">
            <v>15546078</v>
          </cell>
        </row>
      </sheetData>
      <sheetData sheetId="3">
        <row r="2">
          <cell r="D2">
            <v>0</v>
          </cell>
        </row>
      </sheetData>
      <sheetData sheetId="4">
        <row r="2">
          <cell r="D2">
            <v>0</v>
          </cell>
        </row>
      </sheetData>
      <sheetData sheetId="5">
        <row r="2">
          <cell r="D2">
            <v>0</v>
          </cell>
        </row>
      </sheetData>
      <sheetData sheetId="6">
        <row r="2">
          <cell r="D2">
            <v>0</v>
          </cell>
        </row>
      </sheetData>
      <sheetData sheetId="7">
        <row r="2">
          <cell r="D2">
            <v>0</v>
          </cell>
        </row>
      </sheetData>
      <sheetData sheetId="8">
        <row r="2">
          <cell r="D2">
            <v>0</v>
          </cell>
        </row>
      </sheetData>
      <sheetData sheetId="9">
        <row r="2">
          <cell r="D2">
            <v>0</v>
          </cell>
        </row>
      </sheetData>
      <sheetData sheetId="10">
        <row r="2">
          <cell r="D2">
            <v>0</v>
          </cell>
        </row>
      </sheetData>
      <sheetData sheetId="11">
        <row r="2">
          <cell r="D2">
            <v>0</v>
          </cell>
        </row>
      </sheetData>
      <sheetData sheetId="12">
        <row r="1">
          <cell r="M1" t="str">
            <v>Ejecutado (GWh)</v>
          </cell>
        </row>
      </sheetData>
      <sheetData sheetId="13"/>
      <sheetData sheetId="14">
        <row r="2">
          <cell r="B2" t="str">
            <v>Ejecutado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" displayName="Table1" ref="B48:E61" totalsRowShown="0" headerRowDxfId="14">
  <autoFilter ref="B48:E61" xr:uid="{00000000-0009-0000-0100-000003000000}"/>
  <tableColumns count="4">
    <tableColumn id="1" xr3:uid="{00000000-0010-0000-0000-000001000000}" name="Tiempo de operación"/>
    <tableColumn id="2" xr3:uid="{00000000-0010-0000-0000-000002000000}" name="Horas mes" dataDxfId="13"/>
    <tableColumn id="3" xr3:uid="{00000000-0010-0000-0000-000003000000}" name="días mes" dataDxfId="12"/>
    <tableColumn id="4" xr3:uid="{00000000-0010-0000-0000-000004000000}" name="Horas trab. Por mes" dataDxfId="11">
      <calculatedColumnFormula>+[1]ene14!D43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B68:C109" totalsRowShown="0">
  <autoFilter ref="B68:C109" xr:uid="{00000000-0009-0000-0100-000001000000}"/>
  <sortState xmlns:xlrd2="http://schemas.microsoft.com/office/spreadsheetml/2017/richdata2" ref="B69:C109">
    <sortCondition descending="1" ref="C68:C109"/>
  </sortState>
  <tableColumns count="2">
    <tableColumn id="1" xr3:uid="{00000000-0010-0000-0100-000001000000}" name="Unidades"/>
    <tableColumn id="2" xr3:uid="{00000000-0010-0000-0100-000002000000}" name="Horas de Op." dataDxfId="10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B48:E61" totalsRowShown="0" headerRowDxfId="9">
  <autoFilter ref="B48:E61" xr:uid="{00000000-0009-0000-0100-000002000000}"/>
  <tableColumns count="4">
    <tableColumn id="1" xr3:uid="{00000000-0010-0000-0200-000001000000}" name="Tiempo de operación"/>
    <tableColumn id="2" xr3:uid="{00000000-0010-0000-0200-000002000000}" name="Horas mes" dataDxfId="8"/>
    <tableColumn id="3" xr3:uid="{00000000-0010-0000-0200-000003000000}" name="días mes" dataDxfId="7"/>
    <tableColumn id="4" xr3:uid="{00000000-0010-0000-0200-000004000000}" name="Horas trab. Por mes" dataDxfId="6">
      <calculatedColumnFormula>+[1]ene14!D43</calculatedColumnFormula>
    </tableColumn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25" displayName="Table25" ref="B68:C109" totalsRowShown="0">
  <autoFilter ref="B68:C109" xr:uid="{00000000-0009-0000-0100-000004000000}"/>
  <sortState xmlns:xlrd2="http://schemas.microsoft.com/office/spreadsheetml/2017/richdata2" ref="B69:C109">
    <sortCondition descending="1" ref="C68:C109"/>
  </sortState>
  <tableColumns count="2">
    <tableColumn id="1" xr3:uid="{00000000-0010-0000-0300-000001000000}" name="Unidades"/>
    <tableColumn id="2" xr3:uid="{00000000-0010-0000-0300-000002000000}" name="Horas de Op." dataDxfId="5">
      <calculatedColumnFormula>+VLOOKUP(B69,$B$2:$J$44,3,FALSE)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36" displayName="Table136" ref="B48:E61" totalsRowShown="0" headerRowDxfId="4">
  <autoFilter ref="B48:E61" xr:uid="{00000000-0009-0000-0100-000005000000}"/>
  <tableColumns count="4">
    <tableColumn id="1" xr3:uid="{00000000-0010-0000-0400-000001000000}" name="Tiempo de operación"/>
    <tableColumn id="2" xr3:uid="{00000000-0010-0000-0400-000002000000}" name="Horas mes" dataDxfId="3"/>
    <tableColumn id="3" xr3:uid="{00000000-0010-0000-0400-000003000000}" name="días mes" dataDxfId="2"/>
    <tableColumn id="4" xr3:uid="{00000000-0010-0000-0400-000004000000}" name="Horas trab. Por mes" dataDxfId="1">
      <calculatedColumnFormula>+[1]ene14!D43</calculatedColumnFormula>
    </tableColumn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257" displayName="Table257" ref="B68:C109" totalsRowShown="0">
  <autoFilter ref="B68:C109" xr:uid="{00000000-0009-0000-0100-000006000000}"/>
  <sortState xmlns:xlrd2="http://schemas.microsoft.com/office/spreadsheetml/2017/richdata2" ref="B69:C109">
    <sortCondition descending="1" ref="C68:C109"/>
  </sortState>
  <tableColumns count="2">
    <tableColumn id="1" xr3:uid="{00000000-0010-0000-0500-000001000000}" name="Unidades"/>
    <tableColumn id="2" xr3:uid="{00000000-0010-0000-0500-000002000000}" name="Horas de Op." dataDxfId="0">
      <calculatedColumnFormula>+VLOOKUP(B69,$B$2:$J$44,3,FALSE)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workbookViewId="0">
      <selection activeCell="B1" sqref="A1:K54"/>
    </sheetView>
  </sheetViews>
  <sheetFormatPr baseColWidth="10" defaultColWidth="9" defaultRowHeight="15"/>
  <cols>
    <col min="2" max="2" width="14.28515625" customWidth="1"/>
    <col min="4" max="5" width="12.7109375" bestFit="1" customWidth="1"/>
    <col min="6" max="6" width="13.140625" bestFit="1" customWidth="1"/>
    <col min="7" max="7" width="12.5703125" bestFit="1" customWidth="1"/>
    <col min="9" max="9" width="11.85546875" bestFit="1" customWidth="1"/>
    <col min="10" max="10" width="11.140625" bestFit="1" customWidth="1"/>
    <col min="11" max="11" width="21.42578125" bestFit="1" customWidth="1"/>
    <col min="13" max="13" width="13.7109375" bestFit="1" customWidth="1"/>
  </cols>
  <sheetData>
    <row r="1" spans="1:13">
      <c r="A1" s="281" t="s">
        <v>1</v>
      </c>
      <c r="B1" s="284" t="s">
        <v>108</v>
      </c>
      <c r="C1" s="71"/>
      <c r="D1" s="287" t="s">
        <v>109</v>
      </c>
      <c r="E1" s="288"/>
      <c r="F1" s="72"/>
      <c r="G1" s="73" t="s">
        <v>110</v>
      </c>
      <c r="H1" s="209" t="s">
        <v>111</v>
      </c>
      <c r="I1" s="209"/>
      <c r="J1" s="74" t="s">
        <v>110</v>
      </c>
      <c r="K1" s="291" t="s">
        <v>112</v>
      </c>
    </row>
    <row r="2" spans="1:13">
      <c r="A2" s="282"/>
      <c r="B2" s="285"/>
      <c r="C2" s="210" t="s">
        <v>113</v>
      </c>
      <c r="D2" s="289"/>
      <c r="E2" s="290"/>
      <c r="F2" s="210" t="s">
        <v>114</v>
      </c>
      <c r="G2" s="75" t="s">
        <v>115</v>
      </c>
      <c r="H2" s="210" t="s">
        <v>116</v>
      </c>
      <c r="I2" s="210" t="s">
        <v>114</v>
      </c>
      <c r="J2" s="75" t="s">
        <v>117</v>
      </c>
      <c r="K2" s="292"/>
    </row>
    <row r="3" spans="1:13">
      <c r="A3" s="282"/>
      <c r="B3" s="285"/>
      <c r="C3" s="76" t="s">
        <v>118</v>
      </c>
      <c r="D3" s="293" t="s">
        <v>119</v>
      </c>
      <c r="E3" s="293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292"/>
    </row>
    <row r="4" spans="1:13">
      <c r="A4" s="283"/>
      <c r="B4" s="286"/>
      <c r="C4" s="79"/>
      <c r="D4" s="294"/>
      <c r="E4" s="294"/>
      <c r="F4" s="212" t="s">
        <v>124</v>
      </c>
      <c r="G4" s="211" t="s">
        <v>124</v>
      </c>
      <c r="H4" s="211" t="s">
        <v>124</v>
      </c>
      <c r="I4" s="211" t="s">
        <v>124</v>
      </c>
      <c r="J4" s="211" t="s">
        <v>124</v>
      </c>
      <c r="K4" s="80" t="s">
        <v>125</v>
      </c>
    </row>
    <row r="5" spans="1:13">
      <c r="A5" s="295" t="s">
        <v>126</v>
      </c>
      <c r="B5" s="296"/>
      <c r="C5" s="296"/>
      <c r="D5" s="296"/>
      <c r="E5" s="296"/>
      <c r="F5" s="296"/>
      <c r="G5" s="296"/>
      <c r="H5" s="296"/>
      <c r="I5" s="296"/>
      <c r="J5" s="296"/>
      <c r="K5" s="297"/>
      <c r="M5" t="s">
        <v>173</v>
      </c>
    </row>
    <row r="6" spans="1:13">
      <c r="A6" s="298">
        <v>1</v>
      </c>
      <c r="B6" s="86" t="s">
        <v>178</v>
      </c>
      <c r="C6" s="224">
        <v>139.86000000000001</v>
      </c>
      <c r="D6" s="83">
        <v>3243384000</v>
      </c>
      <c r="E6" s="83">
        <v>3249019000</v>
      </c>
      <c r="F6" s="84">
        <v>5635000</v>
      </c>
      <c r="G6" s="300">
        <v>10300000</v>
      </c>
      <c r="H6" s="241">
        <v>40310</v>
      </c>
      <c r="I6" s="230">
        <v>5594690</v>
      </c>
      <c r="J6" s="302">
        <v>10259690</v>
      </c>
      <c r="K6" s="85">
        <v>40.29</v>
      </c>
      <c r="M6" s="164">
        <f>SUM(C6:C15)</f>
        <v>3166.45</v>
      </c>
    </row>
    <row r="7" spans="1:13">
      <c r="A7" s="299"/>
      <c r="B7" s="86" t="s">
        <v>127</v>
      </c>
      <c r="C7" s="87">
        <v>117.72</v>
      </c>
      <c r="D7" s="105">
        <v>3301758000</v>
      </c>
      <c r="E7" s="105">
        <v>3306423000</v>
      </c>
      <c r="F7" s="88">
        <v>4665000</v>
      </c>
      <c r="G7" s="301"/>
      <c r="H7" s="242">
        <v>0</v>
      </c>
      <c r="I7" s="230">
        <v>4665000</v>
      </c>
      <c r="J7" s="303"/>
      <c r="K7" s="85">
        <v>39.630000000000003</v>
      </c>
      <c r="M7" s="13">
        <f>SUM(C18:C29)</f>
        <v>4016.4500000000003</v>
      </c>
    </row>
    <row r="8" spans="1:13">
      <c r="A8" s="89">
        <v>2</v>
      </c>
      <c r="B8" s="86" t="s">
        <v>128</v>
      </c>
      <c r="C8" s="225">
        <v>738.03</v>
      </c>
      <c r="D8" s="91">
        <v>987400400</v>
      </c>
      <c r="E8" s="91">
        <v>991250200</v>
      </c>
      <c r="F8" s="88">
        <v>3849800</v>
      </c>
      <c r="G8" s="134">
        <v>3849800</v>
      </c>
      <c r="H8" s="232">
        <v>28262</v>
      </c>
      <c r="I8" s="230">
        <v>3821538</v>
      </c>
      <c r="J8" s="246">
        <v>3821538</v>
      </c>
      <c r="K8" s="85">
        <v>5.22</v>
      </c>
      <c r="M8" s="165">
        <f>SUM(C32:C40)</f>
        <v>2379.64</v>
      </c>
    </row>
    <row r="9" spans="1:13">
      <c r="A9" s="304">
        <v>3</v>
      </c>
      <c r="B9" s="86" t="s">
        <v>129</v>
      </c>
      <c r="C9" s="93">
        <v>263.42</v>
      </c>
      <c r="D9" s="94" t="s">
        <v>175</v>
      </c>
      <c r="E9" s="95"/>
      <c r="F9" s="84">
        <v>5609879</v>
      </c>
      <c r="G9" s="305">
        <v>11053553</v>
      </c>
      <c r="H9" s="243">
        <v>43786</v>
      </c>
      <c r="I9" s="244">
        <v>5566093</v>
      </c>
      <c r="J9" s="307">
        <v>11009767</v>
      </c>
      <c r="K9" s="85">
        <v>21.3</v>
      </c>
      <c r="M9" s="165">
        <f>SUM(C43:C53)</f>
        <v>5111.9699999999993</v>
      </c>
    </row>
    <row r="10" spans="1:13" ht="15.75">
      <c r="A10" s="299"/>
      <c r="B10" s="86" t="s">
        <v>130</v>
      </c>
      <c r="C10" s="93">
        <v>255.12</v>
      </c>
      <c r="D10" s="97"/>
      <c r="E10" s="98"/>
      <c r="F10" s="101">
        <v>5443674</v>
      </c>
      <c r="G10" s="306"/>
      <c r="H10" s="245">
        <v>0</v>
      </c>
      <c r="I10" s="231">
        <v>5443674</v>
      </c>
      <c r="J10" s="308"/>
      <c r="K10" s="85">
        <v>21.34</v>
      </c>
      <c r="M10" s="166">
        <f>SUM(M6:M9)</f>
        <v>14674.509999999998</v>
      </c>
    </row>
    <row r="11" spans="1:13">
      <c r="A11" s="304">
        <v>4</v>
      </c>
      <c r="B11" s="86" t="s">
        <v>131</v>
      </c>
      <c r="C11" s="93">
        <v>630.54999999999995</v>
      </c>
      <c r="D11" s="99"/>
      <c r="E11" s="100"/>
      <c r="F11" s="101">
        <v>582970</v>
      </c>
      <c r="G11" s="309">
        <v>1073220</v>
      </c>
      <c r="H11" s="311">
        <v>11440</v>
      </c>
      <c r="I11" s="231">
        <v>571530</v>
      </c>
      <c r="J11" s="313">
        <v>1061780</v>
      </c>
      <c r="K11" s="85">
        <v>0.92</v>
      </c>
    </row>
    <row r="12" spans="1:13">
      <c r="A12" s="299"/>
      <c r="B12" s="86" t="s">
        <v>132</v>
      </c>
      <c r="C12" s="93">
        <v>570.89</v>
      </c>
      <c r="D12" s="102"/>
      <c r="E12" s="103"/>
      <c r="F12" s="101">
        <v>490250</v>
      </c>
      <c r="G12" s="310"/>
      <c r="H12" s="312"/>
      <c r="I12" s="231">
        <v>490250</v>
      </c>
      <c r="J12" s="303"/>
      <c r="K12" s="85">
        <v>0.86</v>
      </c>
    </row>
    <row r="13" spans="1:13">
      <c r="A13" s="304">
        <v>5</v>
      </c>
      <c r="B13" s="86" t="s">
        <v>133</v>
      </c>
      <c r="C13" s="104">
        <v>257.17</v>
      </c>
      <c r="D13" s="105">
        <v>6771381</v>
      </c>
      <c r="E13" s="105">
        <v>6803742</v>
      </c>
      <c r="F13" s="84">
        <v>32361</v>
      </c>
      <c r="G13" s="314">
        <v>56738</v>
      </c>
      <c r="H13" s="315">
        <v>841</v>
      </c>
      <c r="I13" s="231">
        <v>31520</v>
      </c>
      <c r="J13" s="317">
        <v>55897</v>
      </c>
      <c r="K13" s="85">
        <v>0.13</v>
      </c>
    </row>
    <row r="14" spans="1:13">
      <c r="A14" s="299"/>
      <c r="B14" s="86" t="s">
        <v>134</v>
      </c>
      <c r="C14" s="104">
        <v>193.69</v>
      </c>
      <c r="D14" s="105">
        <v>6486647</v>
      </c>
      <c r="E14" s="105">
        <v>6511024</v>
      </c>
      <c r="F14" s="84">
        <v>24377</v>
      </c>
      <c r="G14" s="301"/>
      <c r="H14" s="316"/>
      <c r="I14" s="231">
        <v>24377</v>
      </c>
      <c r="J14" s="303"/>
      <c r="K14" s="85">
        <v>0.13</v>
      </c>
    </row>
    <row r="15" spans="1:13" ht="15.75" thickBot="1">
      <c r="A15" s="106">
        <v>6</v>
      </c>
      <c r="B15" s="107" t="s">
        <v>135</v>
      </c>
      <c r="C15" s="226">
        <v>0</v>
      </c>
      <c r="D15" s="191">
        <v>49338089</v>
      </c>
      <c r="E15" s="191">
        <v>49338089</v>
      </c>
      <c r="F15" s="84">
        <v>0</v>
      </c>
      <c r="G15" s="134">
        <v>0</v>
      </c>
      <c r="H15" s="232">
        <v>10909</v>
      </c>
      <c r="I15" s="233">
        <v>0</v>
      </c>
      <c r="J15" s="246">
        <v>0</v>
      </c>
      <c r="K15" s="85">
        <v>0</v>
      </c>
    </row>
    <row r="16" spans="1:13" ht="16.5" thickTop="1" thickBot="1">
      <c r="A16" s="318" t="s">
        <v>136</v>
      </c>
      <c r="B16" s="319"/>
      <c r="C16" s="324"/>
      <c r="D16" s="319"/>
      <c r="E16" s="320"/>
      <c r="F16" s="110">
        <v>26333311</v>
      </c>
      <c r="G16" s="110">
        <v>26333311</v>
      </c>
      <c r="H16" s="110">
        <v>135548</v>
      </c>
      <c r="I16" s="110">
        <v>26208672</v>
      </c>
      <c r="J16" s="110">
        <v>26208672</v>
      </c>
      <c r="K16" s="111">
        <v>130</v>
      </c>
    </row>
    <row r="17" spans="1:11" ht="15.75" thickTop="1">
      <c r="A17" s="295" t="s">
        <v>137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7"/>
    </row>
    <row r="18" spans="1:11">
      <c r="A18" s="217">
        <v>7</v>
      </c>
      <c r="B18" s="112" t="s">
        <v>138</v>
      </c>
      <c r="C18" s="113">
        <v>228.3</v>
      </c>
      <c r="D18" s="227">
        <v>54180000</v>
      </c>
      <c r="E18" s="227">
        <v>56170000</v>
      </c>
      <c r="F18" s="88">
        <v>1990000</v>
      </c>
      <c r="G18" s="223">
        <v>1990000</v>
      </c>
      <c r="H18" s="115">
        <v>15248</v>
      </c>
      <c r="I18" s="233">
        <v>1974752</v>
      </c>
      <c r="J18" s="246">
        <v>1974752</v>
      </c>
      <c r="K18" s="85">
        <v>8.7200000000000006</v>
      </c>
    </row>
    <row r="19" spans="1:11">
      <c r="A19" s="89">
        <v>8</v>
      </c>
      <c r="B19" s="116" t="s">
        <v>139</v>
      </c>
      <c r="C19" s="228">
        <v>729.59</v>
      </c>
      <c r="D19" s="214">
        <v>771706500</v>
      </c>
      <c r="E19" s="214">
        <v>776557500</v>
      </c>
      <c r="F19" s="88">
        <v>4851000</v>
      </c>
      <c r="G19" s="223">
        <v>4851000</v>
      </c>
      <c r="H19" s="234">
        <v>2735</v>
      </c>
      <c r="I19" s="235">
        <v>4848265</v>
      </c>
      <c r="J19" s="237">
        <v>4848265</v>
      </c>
      <c r="K19" s="109">
        <v>6.65</v>
      </c>
    </row>
    <row r="20" spans="1:11">
      <c r="A20" s="89"/>
      <c r="B20" s="116"/>
      <c r="C20" s="266"/>
      <c r="D20" s="267"/>
      <c r="E20" s="267"/>
      <c r="F20" s="88"/>
      <c r="G20" s="223"/>
      <c r="H20" s="268"/>
      <c r="I20" s="235"/>
      <c r="J20" s="237"/>
      <c r="K20" s="109"/>
    </row>
    <row r="21" spans="1:11">
      <c r="A21" s="89">
        <v>9</v>
      </c>
      <c r="B21" s="116" t="s">
        <v>140</v>
      </c>
      <c r="C21" s="82">
        <v>623.20000000000005</v>
      </c>
      <c r="D21" s="247">
        <v>680334066</v>
      </c>
      <c r="E21" s="247">
        <v>683424066</v>
      </c>
      <c r="F21" s="84">
        <v>3090000</v>
      </c>
      <c r="G21" s="223">
        <v>3090000</v>
      </c>
      <c r="H21" s="236">
        <v>6454</v>
      </c>
      <c r="I21" s="235">
        <v>3083546</v>
      </c>
      <c r="J21" s="237">
        <v>3083546</v>
      </c>
      <c r="K21" s="109">
        <v>4.96</v>
      </c>
    </row>
    <row r="22" spans="1:11">
      <c r="A22" s="325">
        <v>10</v>
      </c>
      <c r="B22" s="116" t="s">
        <v>141</v>
      </c>
      <c r="C22" s="93">
        <v>337.88</v>
      </c>
      <c r="D22" s="248">
        <v>630817000</v>
      </c>
      <c r="E22" s="248">
        <v>634789500</v>
      </c>
      <c r="F22" s="84">
        <v>3972500</v>
      </c>
      <c r="G22" s="314">
        <v>7397500</v>
      </c>
      <c r="H22" s="327">
        <v>49155</v>
      </c>
      <c r="I22" s="249">
        <v>3923345</v>
      </c>
      <c r="J22" s="329">
        <v>7348345</v>
      </c>
      <c r="K22" s="85">
        <v>11.76</v>
      </c>
    </row>
    <row r="23" spans="1:11">
      <c r="A23" s="326"/>
      <c r="B23" s="116" t="s">
        <v>142</v>
      </c>
      <c r="C23" s="118">
        <v>286.33</v>
      </c>
      <c r="D23" s="253">
        <v>521369000</v>
      </c>
      <c r="E23" s="253">
        <v>524794000</v>
      </c>
      <c r="F23" s="88">
        <v>3425000</v>
      </c>
      <c r="G23" s="301"/>
      <c r="H23" s="328"/>
      <c r="I23" s="235">
        <v>3425000</v>
      </c>
      <c r="J23" s="330"/>
      <c r="K23" s="85">
        <v>11.96</v>
      </c>
    </row>
    <row r="24" spans="1:11">
      <c r="A24" s="89">
        <v>11</v>
      </c>
      <c r="B24" s="116" t="s">
        <v>143</v>
      </c>
      <c r="C24" s="93">
        <v>233.88</v>
      </c>
      <c r="D24" s="195">
        <v>11108466</v>
      </c>
      <c r="E24" s="195">
        <v>11200504</v>
      </c>
      <c r="F24" s="101">
        <v>92038</v>
      </c>
      <c r="G24" s="223">
        <v>92038</v>
      </c>
      <c r="H24" s="231">
        <v>2799</v>
      </c>
      <c r="I24" s="233">
        <v>89239</v>
      </c>
      <c r="J24" s="237">
        <v>89239</v>
      </c>
      <c r="K24" s="85">
        <v>0.39</v>
      </c>
    </row>
    <row r="25" spans="1:11">
      <c r="A25" s="325">
        <v>12</v>
      </c>
      <c r="B25" s="119" t="s">
        <v>144</v>
      </c>
      <c r="C25" s="120">
        <v>276.57</v>
      </c>
      <c r="D25" s="97"/>
      <c r="E25" s="121"/>
      <c r="F25" s="122">
        <v>53746</v>
      </c>
      <c r="G25" s="331">
        <v>128108</v>
      </c>
      <c r="H25" s="333">
        <v>1246</v>
      </c>
      <c r="I25" s="231">
        <v>53746</v>
      </c>
      <c r="J25" s="335">
        <v>126862</v>
      </c>
      <c r="K25" s="85">
        <v>0</v>
      </c>
    </row>
    <row r="26" spans="1:11">
      <c r="A26" s="326"/>
      <c r="B26" s="119" t="s">
        <v>145</v>
      </c>
      <c r="C26" s="120">
        <v>302.04000000000002</v>
      </c>
      <c r="D26" s="97"/>
      <c r="E26" s="121"/>
      <c r="F26" s="124">
        <v>74362</v>
      </c>
      <c r="G26" s="332"/>
      <c r="H26" s="334"/>
      <c r="I26" s="231">
        <v>73116</v>
      </c>
      <c r="J26" s="336"/>
      <c r="K26" s="85">
        <v>0.25</v>
      </c>
    </row>
    <row r="27" spans="1:11">
      <c r="A27" s="106">
        <v>13</v>
      </c>
      <c r="B27" s="123" t="s">
        <v>146</v>
      </c>
      <c r="C27" s="104">
        <v>254.83</v>
      </c>
      <c r="D27" s="97"/>
      <c r="E27" s="98"/>
      <c r="F27" s="124">
        <v>83540</v>
      </c>
      <c r="G27" s="125">
        <v>83540</v>
      </c>
      <c r="H27" s="250">
        <v>3516</v>
      </c>
      <c r="I27" s="233">
        <v>80024</v>
      </c>
      <c r="J27" s="237">
        <v>80024</v>
      </c>
      <c r="K27" s="85">
        <v>0.33</v>
      </c>
    </row>
    <row r="28" spans="1:11">
      <c r="A28" s="304">
        <v>14</v>
      </c>
      <c r="B28" s="126" t="s">
        <v>147</v>
      </c>
      <c r="C28" s="82">
        <v>287.33</v>
      </c>
      <c r="D28" s="127">
        <v>9453400</v>
      </c>
      <c r="E28" s="127">
        <v>11298000</v>
      </c>
      <c r="F28" s="101">
        <v>1844600</v>
      </c>
      <c r="G28" s="314">
        <v>4955200</v>
      </c>
      <c r="H28" s="250">
        <v>78381</v>
      </c>
      <c r="I28" s="234">
        <v>1766219</v>
      </c>
      <c r="J28" s="338">
        <v>4876819</v>
      </c>
      <c r="K28" s="128">
        <v>6.42</v>
      </c>
    </row>
    <row r="29" spans="1:11" ht="15.75" thickBot="1">
      <c r="A29" s="299"/>
      <c r="B29" s="129" t="s">
        <v>148</v>
      </c>
      <c r="C29" s="93">
        <v>456.5</v>
      </c>
      <c r="D29" s="127">
        <v>47380700</v>
      </c>
      <c r="E29" s="127">
        <v>50491300</v>
      </c>
      <c r="F29" s="101">
        <v>3110600</v>
      </c>
      <c r="G29" s="337"/>
      <c r="H29" s="239">
        <v>0</v>
      </c>
      <c r="I29" s="240">
        <v>3110600</v>
      </c>
      <c r="J29" s="339"/>
      <c r="K29" s="128">
        <v>6.81</v>
      </c>
    </row>
    <row r="30" spans="1:11" ht="16.5" thickTop="1" thickBot="1">
      <c r="A30" s="318" t="s">
        <v>149</v>
      </c>
      <c r="B30" s="319"/>
      <c r="C30" s="319"/>
      <c r="D30" s="319"/>
      <c r="E30" s="320"/>
      <c r="F30" s="110">
        <v>22587386</v>
      </c>
      <c r="G30" s="110">
        <v>22587386</v>
      </c>
      <c r="H30" s="110">
        <v>159534</v>
      </c>
      <c r="I30" s="110">
        <v>22427852</v>
      </c>
      <c r="J30" s="110">
        <v>22427852</v>
      </c>
      <c r="K30" s="111">
        <v>58</v>
      </c>
    </row>
    <row r="31" spans="1:11" ht="15.75" thickTop="1">
      <c r="A31" s="321" t="s">
        <v>150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11">
      <c r="A32" s="298">
        <v>15</v>
      </c>
      <c r="B32" s="130" t="s">
        <v>151</v>
      </c>
      <c r="C32" s="131">
        <v>186.58</v>
      </c>
      <c r="D32" s="132">
        <v>3979761420</v>
      </c>
      <c r="E32" s="132">
        <v>3984100079</v>
      </c>
      <c r="F32" s="101">
        <v>4338659</v>
      </c>
      <c r="G32" s="309">
        <v>4822759</v>
      </c>
      <c r="H32" s="101">
        <v>38601</v>
      </c>
      <c r="I32" s="134">
        <v>4300058</v>
      </c>
      <c r="J32" s="340">
        <v>4784158</v>
      </c>
      <c r="K32" s="135">
        <v>23.25</v>
      </c>
    </row>
    <row r="33" spans="1:11">
      <c r="A33" s="299"/>
      <c r="B33" s="130" t="s">
        <v>152</v>
      </c>
      <c r="C33" s="136">
        <v>27.03</v>
      </c>
      <c r="D33" s="229">
        <v>789381200</v>
      </c>
      <c r="E33" s="137">
        <v>789865300</v>
      </c>
      <c r="F33" s="84">
        <v>484100</v>
      </c>
      <c r="G33" s="310"/>
      <c r="H33" s="101">
        <v>0</v>
      </c>
      <c r="I33" s="134">
        <v>484100</v>
      </c>
      <c r="J33" s="341"/>
      <c r="K33" s="138">
        <v>17.91</v>
      </c>
    </row>
    <row r="34" spans="1:11">
      <c r="A34" s="304">
        <v>16</v>
      </c>
      <c r="B34" s="139" t="s">
        <v>153</v>
      </c>
      <c r="C34" s="206">
        <v>238.66</v>
      </c>
      <c r="D34" s="140">
        <v>2679305726</v>
      </c>
      <c r="E34" s="140">
        <v>2690008003</v>
      </c>
      <c r="F34" s="101">
        <v>10702277</v>
      </c>
      <c r="G34" s="309">
        <v>14330422</v>
      </c>
      <c r="H34" s="141">
        <v>0</v>
      </c>
      <c r="I34" s="238">
        <v>10702277</v>
      </c>
      <c r="J34" s="342">
        <v>14149462</v>
      </c>
      <c r="K34" s="150">
        <v>44.84</v>
      </c>
    </row>
    <row r="35" spans="1:11">
      <c r="A35" s="299"/>
      <c r="B35" s="130" t="s">
        <v>154</v>
      </c>
      <c r="C35" s="206">
        <v>85.61</v>
      </c>
      <c r="D35" s="105">
        <v>2576738352</v>
      </c>
      <c r="E35" s="105">
        <v>2580366497</v>
      </c>
      <c r="F35" s="88">
        <v>3628145</v>
      </c>
      <c r="G35" s="310"/>
      <c r="H35" s="141">
        <v>180960</v>
      </c>
      <c r="I35" s="238">
        <v>3447185</v>
      </c>
      <c r="J35" s="341"/>
      <c r="K35" s="150">
        <v>42.38</v>
      </c>
    </row>
    <row r="36" spans="1:11">
      <c r="A36" s="304">
        <v>17</v>
      </c>
      <c r="B36" s="130" t="s">
        <v>155</v>
      </c>
      <c r="C36" s="206">
        <v>289.85000000000002</v>
      </c>
      <c r="D36" s="143">
        <v>617728960</v>
      </c>
      <c r="E36" s="143">
        <v>625339392</v>
      </c>
      <c r="F36" s="84">
        <v>7610432</v>
      </c>
      <c r="G36" s="309">
        <v>15301696</v>
      </c>
      <c r="H36" s="101">
        <v>99689</v>
      </c>
      <c r="I36" s="134">
        <v>7510743</v>
      </c>
      <c r="J36" s="342">
        <v>15202007</v>
      </c>
      <c r="K36" s="138">
        <v>26.26</v>
      </c>
    </row>
    <row r="37" spans="1:11">
      <c r="A37" s="299"/>
      <c r="B37" s="139" t="s">
        <v>156</v>
      </c>
      <c r="C37" s="82">
        <v>289.26</v>
      </c>
      <c r="D37" s="143">
        <v>833872960</v>
      </c>
      <c r="E37" s="143">
        <v>841564224</v>
      </c>
      <c r="F37" s="84">
        <v>7691264</v>
      </c>
      <c r="G37" s="310"/>
      <c r="H37" s="144">
        <v>0</v>
      </c>
      <c r="I37" s="134">
        <v>7691264</v>
      </c>
      <c r="J37" s="341"/>
      <c r="K37" s="138">
        <v>26.59</v>
      </c>
    </row>
    <row r="38" spans="1:11">
      <c r="A38" s="145">
        <v>18</v>
      </c>
      <c r="B38" s="130" t="s">
        <v>157</v>
      </c>
      <c r="C38" s="82">
        <v>674.97</v>
      </c>
      <c r="D38" s="146"/>
      <c r="E38" s="147"/>
      <c r="F38" s="148">
        <v>100981</v>
      </c>
      <c r="G38" s="219">
        <v>100981</v>
      </c>
      <c r="H38" s="220">
        <v>2173</v>
      </c>
      <c r="I38" s="134">
        <v>98808</v>
      </c>
      <c r="J38" s="134">
        <v>98808</v>
      </c>
      <c r="K38" s="138">
        <v>0.15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20">
        <v>0</v>
      </c>
      <c r="H39" s="219">
        <v>587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587.67999999999995</v>
      </c>
      <c r="D40" s="196">
        <v>39215011</v>
      </c>
      <c r="E40" s="196">
        <v>39508687</v>
      </c>
      <c r="F40" s="84">
        <v>293676</v>
      </c>
      <c r="G40" s="219">
        <v>293676</v>
      </c>
      <c r="H40" s="84">
        <v>9810</v>
      </c>
      <c r="I40" s="134">
        <v>283866</v>
      </c>
      <c r="J40" s="231">
        <v>283866</v>
      </c>
      <c r="K40" s="138">
        <v>0.5</v>
      </c>
    </row>
    <row r="41" spans="1:11" ht="16.5" thickTop="1" thickBot="1">
      <c r="A41" s="318" t="s">
        <v>160</v>
      </c>
      <c r="B41" s="319"/>
      <c r="C41" s="319"/>
      <c r="D41" s="319"/>
      <c r="E41" s="320"/>
      <c r="F41" s="110">
        <v>34849534</v>
      </c>
      <c r="G41" s="110">
        <v>34849534</v>
      </c>
      <c r="H41" s="110">
        <v>331820</v>
      </c>
      <c r="I41" s="110">
        <v>34518301</v>
      </c>
      <c r="J41" s="110">
        <v>34518301</v>
      </c>
      <c r="K41" s="111">
        <v>182</v>
      </c>
    </row>
    <row r="42" spans="1:11" ht="15.75" thickTop="1">
      <c r="A42" s="321" t="s">
        <v>161</v>
      </c>
      <c r="B42" s="322"/>
      <c r="C42" s="322"/>
      <c r="D42" s="322"/>
      <c r="E42" s="322"/>
      <c r="F42" s="322"/>
      <c r="G42" s="322"/>
      <c r="H42" s="322"/>
      <c r="I42" s="322"/>
      <c r="J42" s="322"/>
      <c r="K42" s="323"/>
    </row>
    <row r="43" spans="1:11">
      <c r="A43" s="217">
        <v>21</v>
      </c>
      <c r="B43" s="153" t="s">
        <v>162</v>
      </c>
      <c r="C43" s="136">
        <v>741.41</v>
      </c>
      <c r="D43" s="154">
        <v>875502233</v>
      </c>
      <c r="E43" s="154">
        <v>882377001</v>
      </c>
      <c r="F43" s="84">
        <v>6874768</v>
      </c>
      <c r="G43" s="219">
        <v>6874768</v>
      </c>
      <c r="H43" s="219">
        <v>12279</v>
      </c>
      <c r="I43" s="219">
        <v>6862489</v>
      </c>
      <c r="J43" s="92">
        <v>6862489</v>
      </c>
      <c r="K43" s="150">
        <v>9.27</v>
      </c>
    </row>
    <row r="44" spans="1:11">
      <c r="A44" s="89">
        <v>22</v>
      </c>
      <c r="B44" s="155" t="s">
        <v>163</v>
      </c>
      <c r="C44" s="156">
        <v>647.36</v>
      </c>
      <c r="D44" s="200">
        <v>666714700</v>
      </c>
      <c r="E44" s="200">
        <v>669859400</v>
      </c>
      <c r="F44" s="84">
        <v>3144700</v>
      </c>
      <c r="G44" s="84">
        <v>3144700</v>
      </c>
      <c r="H44" s="84">
        <v>12376</v>
      </c>
      <c r="I44" s="219">
        <v>3132324</v>
      </c>
      <c r="J44" s="92">
        <v>3132324</v>
      </c>
      <c r="K44" s="150">
        <v>4.8600000000000003</v>
      </c>
    </row>
    <row r="45" spans="1:11">
      <c r="A45" s="218">
        <v>23</v>
      </c>
      <c r="B45" s="130" t="s">
        <v>164</v>
      </c>
      <c r="C45" s="156">
        <v>739.53</v>
      </c>
      <c r="D45" s="215">
        <v>425639537</v>
      </c>
      <c r="E45" s="215">
        <v>427008055</v>
      </c>
      <c r="F45" s="84">
        <v>1368518</v>
      </c>
      <c r="G45" s="84">
        <v>1368518</v>
      </c>
      <c r="H45" s="101">
        <v>8352</v>
      </c>
      <c r="I45" s="84">
        <v>1360166</v>
      </c>
      <c r="J45" s="92">
        <v>1360166</v>
      </c>
      <c r="K45" s="150">
        <v>1.85</v>
      </c>
    </row>
    <row r="46" spans="1:11">
      <c r="A46" s="304">
        <v>24</v>
      </c>
      <c r="B46" s="197" t="s">
        <v>165</v>
      </c>
      <c r="C46" s="156">
        <v>704.73</v>
      </c>
      <c r="D46" s="157">
        <v>373948200</v>
      </c>
      <c r="E46" s="157">
        <v>376088400</v>
      </c>
      <c r="F46" s="84">
        <v>2140200</v>
      </c>
      <c r="G46" s="309">
        <v>3751800</v>
      </c>
      <c r="H46" s="309">
        <v>13907</v>
      </c>
      <c r="I46" s="101">
        <v>2126293</v>
      </c>
      <c r="J46" s="309">
        <v>3737893</v>
      </c>
      <c r="K46" s="150">
        <v>3.04</v>
      </c>
    </row>
    <row r="47" spans="1:11">
      <c r="A47" s="299"/>
      <c r="B47" s="198" t="s">
        <v>166</v>
      </c>
      <c r="C47" s="156">
        <v>702.58</v>
      </c>
      <c r="D47" s="157">
        <v>474883200</v>
      </c>
      <c r="E47" s="157">
        <v>476494800</v>
      </c>
      <c r="F47" s="84">
        <v>1611600</v>
      </c>
      <c r="G47" s="310"/>
      <c r="H47" s="310"/>
      <c r="I47" s="101">
        <v>1611600</v>
      </c>
      <c r="J47" s="310"/>
      <c r="K47" s="150">
        <v>2.29</v>
      </c>
    </row>
    <row r="48" spans="1:11">
      <c r="A48" s="304">
        <v>25</v>
      </c>
      <c r="B48" s="199" t="s">
        <v>167</v>
      </c>
      <c r="C48" s="156">
        <v>650.35</v>
      </c>
      <c r="D48" s="157">
        <v>8796710</v>
      </c>
      <c r="E48" s="157">
        <v>9589891</v>
      </c>
      <c r="F48" s="84">
        <v>793181</v>
      </c>
      <c r="G48" s="309">
        <v>1605513</v>
      </c>
      <c r="H48" s="221">
        <v>18040</v>
      </c>
      <c r="I48" s="101">
        <v>775141</v>
      </c>
      <c r="J48" s="309">
        <v>1587473</v>
      </c>
      <c r="K48" s="150">
        <v>1.22</v>
      </c>
    </row>
    <row r="49" spans="1:11">
      <c r="A49" s="299">
        <v>21</v>
      </c>
      <c r="B49" s="126" t="s">
        <v>168</v>
      </c>
      <c r="C49" s="156">
        <v>655.03</v>
      </c>
      <c r="D49" s="200">
        <v>1515192</v>
      </c>
      <c r="E49" s="200">
        <v>2327524</v>
      </c>
      <c r="F49" s="84">
        <v>812332</v>
      </c>
      <c r="G49" s="310"/>
      <c r="H49" s="242">
        <v>0</v>
      </c>
      <c r="I49" s="222">
        <v>812332</v>
      </c>
      <c r="J49" s="310"/>
      <c r="K49" s="138">
        <v>1.24</v>
      </c>
    </row>
    <row r="50" spans="1:11">
      <c r="A50" s="304">
        <v>26</v>
      </c>
      <c r="B50" s="126" t="s">
        <v>169</v>
      </c>
      <c r="C50" s="156">
        <v>0</v>
      </c>
      <c r="D50" s="105">
        <v>615162</v>
      </c>
      <c r="E50" s="105">
        <v>615162</v>
      </c>
      <c r="F50" s="84">
        <v>0</v>
      </c>
      <c r="G50" s="309">
        <v>0</v>
      </c>
      <c r="H50" s="221">
        <v>6279</v>
      </c>
      <c r="I50" s="101">
        <v>0</v>
      </c>
      <c r="J50" s="309">
        <v>0</v>
      </c>
      <c r="K50" s="138">
        <v>0</v>
      </c>
    </row>
    <row r="51" spans="1:11">
      <c r="A51" s="299">
        <v>21</v>
      </c>
      <c r="B51" s="161" t="s">
        <v>170</v>
      </c>
      <c r="C51" s="156">
        <v>0</v>
      </c>
      <c r="D51" s="154">
        <v>669792</v>
      </c>
      <c r="E51" s="154">
        <v>669792</v>
      </c>
      <c r="F51" s="101">
        <v>0</v>
      </c>
      <c r="G51" s="310"/>
      <c r="H51" s="221">
        <v>0</v>
      </c>
      <c r="I51" s="101">
        <v>0</v>
      </c>
      <c r="J51" s="310"/>
      <c r="K51" s="138">
        <v>0</v>
      </c>
    </row>
    <row r="52" spans="1:11">
      <c r="A52" s="343">
        <v>27</v>
      </c>
      <c r="B52" s="126" t="s">
        <v>103</v>
      </c>
      <c r="C52" s="93">
        <v>143.47999999999999</v>
      </c>
      <c r="D52" s="201">
        <v>562358848</v>
      </c>
      <c r="E52" s="201">
        <v>566991104</v>
      </c>
      <c r="F52" s="101">
        <v>4632256</v>
      </c>
      <c r="G52" s="314">
        <v>8780484</v>
      </c>
      <c r="H52" s="251">
        <v>121582</v>
      </c>
      <c r="I52" s="231">
        <v>4510674</v>
      </c>
      <c r="J52" s="345">
        <v>8658902</v>
      </c>
      <c r="K52" s="138">
        <v>32.29</v>
      </c>
    </row>
    <row r="53" spans="1:11" ht="15.75" thickBot="1">
      <c r="A53" s="344"/>
      <c r="B53" s="107" t="s">
        <v>104</v>
      </c>
      <c r="C53" s="163">
        <v>127.5</v>
      </c>
      <c r="D53" s="84">
        <v>588261692</v>
      </c>
      <c r="E53" s="84">
        <v>592409920</v>
      </c>
      <c r="F53" s="88">
        <v>4148228</v>
      </c>
      <c r="G53" s="337"/>
      <c r="H53" s="242">
        <v>0</v>
      </c>
      <c r="I53" s="252">
        <v>4148228</v>
      </c>
      <c r="J53" s="346"/>
      <c r="K53" s="138">
        <v>32.54</v>
      </c>
    </row>
    <row r="54" spans="1:11" ht="16.5" thickTop="1" thickBot="1">
      <c r="A54" s="347" t="s">
        <v>171</v>
      </c>
      <c r="B54" s="348"/>
      <c r="C54" s="348"/>
      <c r="D54" s="348"/>
      <c r="E54" s="349"/>
      <c r="F54" s="110">
        <v>25525783</v>
      </c>
      <c r="G54" s="110">
        <v>25525783</v>
      </c>
      <c r="H54" s="110">
        <v>192815</v>
      </c>
      <c r="I54" s="110">
        <v>25339247</v>
      </c>
      <c r="J54" s="110">
        <v>25339247</v>
      </c>
      <c r="K54" s="111">
        <v>89</v>
      </c>
    </row>
    <row r="55" spans="1:11" ht="17.25" thickTop="1" thickBot="1">
      <c r="A55" s="350" t="s">
        <v>172</v>
      </c>
      <c r="B55" s="351"/>
      <c r="C55" s="351"/>
      <c r="D55" s="351"/>
      <c r="E55" s="352"/>
      <c r="F55" s="110">
        <v>109296014</v>
      </c>
      <c r="G55" s="110">
        <v>109296014</v>
      </c>
      <c r="H55" s="110">
        <v>819717</v>
      </c>
      <c r="I55" s="110">
        <v>108494072</v>
      </c>
      <c r="J55" s="110">
        <v>108494072</v>
      </c>
      <c r="K55" s="111">
        <v>459</v>
      </c>
    </row>
  </sheetData>
  <mergeCells count="62">
    <mergeCell ref="A52:A53"/>
    <mergeCell ref="G52:G53"/>
    <mergeCell ref="J52:J53"/>
    <mergeCell ref="A54:E54"/>
    <mergeCell ref="A55:E55"/>
    <mergeCell ref="G50:G51"/>
    <mergeCell ref="J50:J51"/>
    <mergeCell ref="A46:A47"/>
    <mergeCell ref="G46:G47"/>
    <mergeCell ref="H46:H47"/>
    <mergeCell ref="J46:J47"/>
    <mergeCell ref="A48:A49"/>
    <mergeCell ref="A50:A51"/>
    <mergeCell ref="A32:A33"/>
    <mergeCell ref="G32:G33"/>
    <mergeCell ref="J32:J33"/>
    <mergeCell ref="A42:K42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11:A12"/>
    <mergeCell ref="G11:G12"/>
    <mergeCell ref="H11:H12"/>
    <mergeCell ref="J11:J12"/>
    <mergeCell ref="A13:A14"/>
    <mergeCell ref="G13:G14"/>
    <mergeCell ref="H13:H14"/>
    <mergeCell ref="J13:J14"/>
    <mergeCell ref="A5:K5"/>
    <mergeCell ref="A6:A7"/>
    <mergeCell ref="G6:G7"/>
    <mergeCell ref="J6:J7"/>
    <mergeCell ref="A9:A10"/>
    <mergeCell ref="G9:G10"/>
    <mergeCell ref="J9:J10"/>
    <mergeCell ref="A1:A4"/>
    <mergeCell ref="B1:B4"/>
    <mergeCell ref="D1:E2"/>
    <mergeCell ref="K1:K3"/>
    <mergeCell ref="D3:D4"/>
    <mergeCell ref="E3:E4"/>
  </mergeCells>
  <conditionalFormatting sqref="D45:E45">
    <cfRule type="containsErrors" dxfId="15" priority="1">
      <formula>ISERROR(D45)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9"/>
  <sheetViews>
    <sheetView zoomScale="85" zoomScaleNormal="85" workbookViewId="0">
      <selection activeCell="C3" sqref="C3"/>
    </sheetView>
  </sheetViews>
  <sheetFormatPr baseColWidth="10" defaultColWidth="9" defaultRowHeight="15"/>
  <cols>
    <col min="1" max="1" width="16.42578125" customWidth="1"/>
    <col min="2" max="2" width="17.140625" bestFit="1" customWidth="1"/>
    <col min="3" max="3" width="15" customWidth="1"/>
    <col min="4" max="4" width="10.7109375" customWidth="1"/>
    <col min="5" max="5" width="16.28515625" customWidth="1"/>
    <col min="6" max="6" width="17" bestFit="1" customWidth="1"/>
    <col min="7" max="7" width="17.140625" customWidth="1"/>
    <col min="8" max="9" width="16.28515625" bestFit="1" customWidth="1"/>
    <col min="10" max="10" width="11.7109375" bestFit="1" customWidth="1"/>
    <col min="12" max="12" width="11.42578125" customWidth="1"/>
    <col min="13" max="13" width="12.7109375" bestFit="1" customWidth="1"/>
    <col min="14" max="14" width="9.85546875" customWidth="1"/>
    <col min="18" max="18" width="10.28515625" bestFit="1" customWidth="1"/>
  </cols>
  <sheetData>
    <row r="1" spans="1:14" ht="27.75" thickBot="1">
      <c r="A1" s="20"/>
      <c r="B1" s="21" t="s">
        <v>2</v>
      </c>
      <c r="C1" s="22" t="s">
        <v>3</v>
      </c>
      <c r="D1" s="23" t="s">
        <v>4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5" t="s">
        <v>10</v>
      </c>
      <c r="L1" s="59" t="s">
        <v>72</v>
      </c>
      <c r="M1" s="59" t="s">
        <v>105</v>
      </c>
      <c r="N1" s="59" t="s">
        <v>106</v>
      </c>
    </row>
    <row r="2" spans="1:14" ht="15" customHeight="1" thickBot="1">
      <c r="A2" s="407" t="s">
        <v>100</v>
      </c>
      <c r="B2" s="26" t="s">
        <v>56</v>
      </c>
      <c r="C2" s="27">
        <v>0.11</v>
      </c>
      <c r="D2" s="28">
        <f>+VLOOKUP($B2,'3er Trimestre'!$D$6:$M$56,3,FALSE)</f>
        <v>0</v>
      </c>
      <c r="E2" s="29">
        <f>+VLOOKUP($B2,'3er Trimestre'!$D$6:$M$56,4,FALSE)</f>
        <v>0</v>
      </c>
      <c r="F2" s="30">
        <f>E2</f>
        <v>0</v>
      </c>
      <c r="G2" s="29">
        <f>+VLOOKUP($B2,'3er Trimestre'!$D$6:$M$56,6,FALSE)</f>
        <v>1686</v>
      </c>
      <c r="H2" s="30">
        <f>+VLOOKUP($B2,'3er Trimestre'!$D$6:$M$56,7,FALSE)</f>
        <v>0</v>
      </c>
      <c r="I2" s="29">
        <f>+H2</f>
        <v>0</v>
      </c>
      <c r="J2" s="31">
        <f>IFERROR((E2/1000)/D2,0)</f>
        <v>0</v>
      </c>
      <c r="L2" s="60" t="s">
        <v>73</v>
      </c>
      <c r="M2" s="61" t="e">
        <f>+#REF!</f>
        <v>#REF!</v>
      </c>
      <c r="N2" s="62">
        <v>117.84082500976976</v>
      </c>
    </row>
    <row r="3" spans="1:14" ht="15.75" thickBot="1">
      <c r="A3" s="408"/>
      <c r="B3" s="26" t="s">
        <v>55</v>
      </c>
      <c r="C3" s="27">
        <v>0.33</v>
      </c>
      <c r="D3" s="28">
        <f>+VLOOKUP($B3,'3er Trimestre'!$D$6:$M$56,3,FALSE)</f>
        <v>0</v>
      </c>
      <c r="E3" s="29">
        <f>+VLOOKUP($B3,'3er Trimestre'!$D$6:$M$56,4,FALSE)</f>
        <v>0</v>
      </c>
      <c r="F3" s="30">
        <f>+E3</f>
        <v>0</v>
      </c>
      <c r="G3" s="29">
        <f>+VLOOKUP($B3,'3er Trimestre'!$D$6:$M$56,6,FALSE)</f>
        <v>702</v>
      </c>
      <c r="H3" s="30">
        <f>+VLOOKUP($B3,'3er Trimestre'!$D$6:$M$56,7,FALSE)</f>
        <v>0</v>
      </c>
      <c r="I3" s="29">
        <f>+H3</f>
        <v>0</v>
      </c>
      <c r="J3" s="31">
        <f t="shared" ref="J3:J44" si="0">IFERROR((E3/1000)/D3,0)</f>
        <v>0</v>
      </c>
      <c r="L3" s="63" t="s">
        <v>74</v>
      </c>
      <c r="M3" s="64" t="e">
        <f>+#REF!</f>
        <v>#REF!</v>
      </c>
      <c r="N3" s="65">
        <v>117.92291672018858</v>
      </c>
    </row>
    <row r="4" spans="1:14" ht="15.75" thickBot="1">
      <c r="A4" s="408"/>
      <c r="B4" s="26" t="s">
        <v>41</v>
      </c>
      <c r="C4" s="27">
        <v>0.35</v>
      </c>
      <c r="D4" s="32">
        <f>+VLOOKUP($B4,'3er Trimestre'!$D$6:$M$56,3,FALSE)</f>
        <v>660.87999999999988</v>
      </c>
      <c r="E4" s="29">
        <f>+VLOOKUP($B4,'3er Trimestre'!$D$6:$M$56,4,FALSE)</f>
        <v>140725</v>
      </c>
      <c r="F4" s="403">
        <f>+E4+E5</f>
        <v>433449</v>
      </c>
      <c r="G4" s="29">
        <f>+VLOOKUP($B4,'3er Trimestre'!$D$6:$M$56,6,FALSE)</f>
        <v>7822</v>
      </c>
      <c r="H4" s="30">
        <f>+VLOOKUP($B4,'3er Trimestre'!$D$6:$M$56,7,FALSE)</f>
        <v>140725</v>
      </c>
      <c r="I4" s="406">
        <f>+H4+H5</f>
        <v>425627</v>
      </c>
      <c r="J4" s="31">
        <f t="shared" si="0"/>
        <v>0.21293578259290646</v>
      </c>
      <c r="L4" s="60" t="s">
        <v>75</v>
      </c>
      <c r="M4" s="61" t="e">
        <f>+#REF!</f>
        <v>#REF!</v>
      </c>
      <c r="N4" s="62">
        <v>121.63659969904741</v>
      </c>
    </row>
    <row r="5" spans="1:14" ht="15.75" thickBot="1">
      <c r="A5" s="408"/>
      <c r="B5" s="26" t="s">
        <v>42</v>
      </c>
      <c r="C5" s="27">
        <v>0.35</v>
      </c>
      <c r="D5" s="32">
        <f>+VLOOKUP($B5,'3er Trimestre'!$D$6:$M$56,3,FALSE)</f>
        <v>1412.4899999999998</v>
      </c>
      <c r="E5" s="29">
        <f>+VLOOKUP($B5,'3er Trimestre'!$D$6:$M$56,4,FALSE)</f>
        <v>292724</v>
      </c>
      <c r="F5" s="402" t="e">
        <f>[1]ene14!F5+[1]feb14!F5+[1]mar14!F5+#REF!+#REF!+#REF!+#REF!+#REF!+#REF!+#REF!+#REF!+#REF!</f>
        <v>#REF!</v>
      </c>
      <c r="G5" s="29">
        <f>+VLOOKUP($B5,'3er Trimestre'!$D$6:$M$56,6,FALSE)</f>
        <v>0</v>
      </c>
      <c r="H5" s="30">
        <f>+VLOOKUP($B5,'3er Trimestre'!$D$6:$M$56,7,FALSE)</f>
        <v>284902</v>
      </c>
      <c r="I5" s="405" t="e">
        <f>[1]ene14!I5+[1]feb14!I5+[1]mar14!I5+#REF!+#REF!+#REF!+#REF!+#REF!+#REF!+#REF!</f>
        <v>#REF!</v>
      </c>
      <c r="J5" s="31">
        <f t="shared" si="0"/>
        <v>0.2072396972721931</v>
      </c>
      <c r="L5" s="63" t="s">
        <v>76</v>
      </c>
      <c r="M5" s="64" t="e">
        <f>+#REF!</f>
        <v>#REF!</v>
      </c>
      <c r="N5" s="65">
        <v>130.29214681183348</v>
      </c>
    </row>
    <row r="6" spans="1:14" ht="15.75" thickBot="1">
      <c r="A6" s="408"/>
      <c r="B6" s="26" t="s">
        <v>28</v>
      </c>
      <c r="C6" s="27">
        <v>0.6</v>
      </c>
      <c r="D6" s="28">
        <f>+VLOOKUP($B6,'3er Trimestre'!$D$6:$M$56,3,FALSE)</f>
        <v>25.95</v>
      </c>
      <c r="E6" s="29">
        <f>+VLOOKUP($B6,'3er Trimestre'!$D$6:$M$56,4,FALSE)</f>
        <v>5219</v>
      </c>
      <c r="F6" s="403">
        <f>+E6+E7</f>
        <v>124627</v>
      </c>
      <c r="G6" s="29">
        <f>+VLOOKUP($B6,'3er Trimestre'!$D$6:$M$56,6,FALSE)</f>
        <v>13349</v>
      </c>
      <c r="H6" s="30">
        <f>+VLOOKUP($B6,'3er Trimestre'!$D$6:$M$56,7,FALSE)</f>
        <v>-8130</v>
      </c>
      <c r="I6" s="406">
        <f>+H6+H7</f>
        <v>111278</v>
      </c>
      <c r="J6" s="31">
        <f t="shared" si="0"/>
        <v>0.20111753371868982</v>
      </c>
      <c r="L6" s="60" t="s">
        <v>77</v>
      </c>
      <c r="M6" s="61" t="e">
        <f>+#REF!</f>
        <v>#REF!</v>
      </c>
      <c r="N6" s="62">
        <v>132.02545440046205</v>
      </c>
    </row>
    <row r="7" spans="1:14" ht="15.75" thickBot="1">
      <c r="A7" s="408"/>
      <c r="B7" s="26" t="s">
        <v>30</v>
      </c>
      <c r="C7" s="27">
        <v>0.6</v>
      </c>
      <c r="D7" s="28">
        <f>+VLOOKUP($B7,'3er Trimestre'!$D$6:$M$56,3,FALSE)</f>
        <v>725.41</v>
      </c>
      <c r="E7" s="29">
        <f>+VLOOKUP($B7,'3er Trimestre'!$D$6:$M$56,4,FALSE)</f>
        <v>119408</v>
      </c>
      <c r="F7" s="402" t="e">
        <f>[1]ene14!F7+[1]feb14!F7+[1]mar14!F7+#REF!+#REF!+#REF!+#REF!+#REF!+#REF!+#REF!</f>
        <v>#REF!</v>
      </c>
      <c r="G7" s="27">
        <f>+VLOOKUP($B7,'3er Trimestre'!$D$6:$M$56,6,FALSE)</f>
        <v>0</v>
      </c>
      <c r="H7" s="30">
        <f>+VLOOKUP($B7,'3er Trimestre'!$D$6:$M$56,7,FALSE)</f>
        <v>119408</v>
      </c>
      <c r="I7" s="405" t="e">
        <f>[1]ene14!I7+[1]feb14!I7+[1]mar14!I7+#REF!+#REF!+#REF!+#REF!+#REF!+#REF!+#REF!</f>
        <v>#REF!</v>
      </c>
      <c r="J7" s="31">
        <f t="shared" si="0"/>
        <v>0.1646076012186212</v>
      </c>
      <c r="L7" s="63" t="s">
        <v>78</v>
      </c>
      <c r="M7" s="64" t="e">
        <f>+#REF!</f>
        <v>#REF!</v>
      </c>
      <c r="N7" s="65">
        <v>133.11590099634347</v>
      </c>
    </row>
    <row r="8" spans="1:14" ht="15.75" thickBot="1">
      <c r="A8" s="408"/>
      <c r="B8" s="26" t="s">
        <v>40</v>
      </c>
      <c r="C8" s="27">
        <v>0.62</v>
      </c>
      <c r="D8" s="28">
        <f>+VLOOKUP($B8,'3er Trimestre'!$D$6:$M$56,3,FALSE)</f>
        <v>870.83999999999992</v>
      </c>
      <c r="E8" s="29">
        <f>+VLOOKUP($B8,'3er Trimestre'!$D$6:$M$56,4,FALSE)</f>
        <v>345881</v>
      </c>
      <c r="F8" s="30">
        <f>+E8</f>
        <v>345881</v>
      </c>
      <c r="G8" s="29">
        <f>+VLOOKUP($B8,'3er Trimestre'!$D$6:$M$56,6,FALSE)</f>
        <v>8891</v>
      </c>
      <c r="H8" s="30">
        <f>+VLOOKUP($B8,'3er Trimestre'!$D$6:$M$56,7,FALSE)</f>
        <v>336990</v>
      </c>
      <c r="I8" s="29">
        <f>+H8</f>
        <v>336990</v>
      </c>
      <c r="J8" s="31">
        <f t="shared" si="0"/>
        <v>0.3971808828257774</v>
      </c>
      <c r="L8" s="60" t="s">
        <v>79</v>
      </c>
      <c r="M8" s="61" t="e">
        <f>+#REF!</f>
        <v>#REF!</v>
      </c>
      <c r="N8" s="62">
        <v>136.46404152759948</v>
      </c>
    </row>
    <row r="9" spans="1:14" ht="15.75" thickBot="1">
      <c r="A9" s="408"/>
      <c r="B9" s="26" t="s">
        <v>57</v>
      </c>
      <c r="C9" s="27">
        <v>0.85</v>
      </c>
      <c r="D9" s="28">
        <f>+VLOOKUP($B9,'3er Trimestre'!$D$6:$M$56,3,FALSE)</f>
        <v>1837.04</v>
      </c>
      <c r="E9" s="29">
        <f>+VLOOKUP($B9,'3er Trimestre'!$D$6:$M$56,4,FALSE)</f>
        <v>879974</v>
      </c>
      <c r="F9" s="30">
        <f>E9</f>
        <v>879974</v>
      </c>
      <c r="G9" s="29">
        <f>+VLOOKUP($B9,'3er Trimestre'!$D$6:$M$56,6,FALSE)</f>
        <v>20500</v>
      </c>
      <c r="H9" s="30">
        <f>+VLOOKUP($B9,'3er Trimestre'!$D$6:$M$56,7,FALSE)</f>
        <v>859474</v>
      </c>
      <c r="I9" s="29">
        <f>+H9</f>
        <v>859474</v>
      </c>
      <c r="J9" s="31">
        <f t="shared" si="0"/>
        <v>0.47901733223010934</v>
      </c>
      <c r="L9" s="63" t="s">
        <v>80</v>
      </c>
      <c r="M9" s="64" t="e">
        <f>+#REF!</f>
        <v>#REF!</v>
      </c>
      <c r="N9" s="65">
        <v>139.85316997008891</v>
      </c>
    </row>
    <row r="10" spans="1:14" ht="15.75" thickBot="1">
      <c r="A10" s="408"/>
      <c r="B10" s="26" t="s">
        <v>43</v>
      </c>
      <c r="C10" s="27">
        <v>0.9</v>
      </c>
      <c r="D10" s="28">
        <f>+VLOOKUP($B10,'3er Trimestre'!$D$6:$M$56,3,FALSE)</f>
        <v>1211.24</v>
      </c>
      <c r="E10" s="29">
        <f>+VLOOKUP($B10,'3er Trimestre'!$D$6:$M$56,4,FALSE)</f>
        <v>563414</v>
      </c>
      <c r="F10" s="30">
        <f>+E10</f>
        <v>563414</v>
      </c>
      <c r="G10" s="29">
        <f>+VLOOKUP($B10,'3er Trimestre'!$D$6:$M$56,6,FALSE)</f>
        <v>10775</v>
      </c>
      <c r="H10" s="30">
        <f>+VLOOKUP($B10,'3er Trimestre'!$D$6:$M$56,7,FALSE)</f>
        <v>552639</v>
      </c>
      <c r="I10" s="29">
        <f>+H10</f>
        <v>552639</v>
      </c>
      <c r="J10" s="31">
        <f t="shared" si="0"/>
        <v>0.46515471747960768</v>
      </c>
      <c r="L10" s="60" t="s">
        <v>81</v>
      </c>
      <c r="M10" s="61" t="e">
        <f>+#REF!</f>
        <v>#REF!</v>
      </c>
      <c r="N10" s="62">
        <v>141.83700076375209</v>
      </c>
    </row>
    <row r="11" spans="1:14" ht="15.75" thickBot="1">
      <c r="A11" s="408"/>
      <c r="B11" s="26" t="s">
        <v>24</v>
      </c>
      <c r="C11" s="27">
        <v>1.6</v>
      </c>
      <c r="D11" s="28">
        <f>+VLOOKUP($B11,'3er Trimestre'!$D$6:$M$56,3,FALSE)</f>
        <v>2023.17</v>
      </c>
      <c r="E11" s="29">
        <f>+VLOOKUP($B11,'3er Trimestre'!$D$6:$M$56,4,FALSE)</f>
        <v>1828038</v>
      </c>
      <c r="F11" s="403">
        <f>+E11+E12</f>
        <v>3004030</v>
      </c>
      <c r="G11" s="29">
        <f>+VLOOKUP($B11,'3er Trimestre'!$D$6:$M$56,6,FALSE)</f>
        <v>34390</v>
      </c>
      <c r="H11" s="30">
        <f>+VLOOKUP($B11,'3er Trimestre'!$D$6:$M$56,7,FALSE)</f>
        <v>1793648</v>
      </c>
      <c r="I11" s="406">
        <f>+H11+H12</f>
        <v>2969640</v>
      </c>
      <c r="J11" s="31">
        <f t="shared" si="0"/>
        <v>0.9035513575230949</v>
      </c>
      <c r="L11" s="63" t="s">
        <v>82</v>
      </c>
      <c r="M11" s="64" t="e">
        <f>+#REF!</f>
        <v>#REF!</v>
      </c>
      <c r="N11" s="65">
        <v>144.20586906787437</v>
      </c>
    </row>
    <row r="12" spans="1:14" ht="15.75" thickBot="1">
      <c r="A12" s="408"/>
      <c r="B12" s="26" t="s">
        <v>26</v>
      </c>
      <c r="C12" s="27">
        <v>1.6</v>
      </c>
      <c r="D12" s="28">
        <f>+VLOOKUP($B12,'3er Trimestre'!$D$6:$M$56,3,FALSE)</f>
        <v>1442.91</v>
      </c>
      <c r="E12" s="29">
        <f>+VLOOKUP($B12,'3er Trimestre'!$D$6:$M$56,4,FALSE)</f>
        <v>1175992</v>
      </c>
      <c r="F12" s="402" t="e">
        <f>[1]ene14!F12+[1]feb14!F12+[1]mar14!F12+#REF!+#REF!+#REF!+#REF!+#REF!+#REF!+#REF!+#REF!+#REF!</f>
        <v>#REF!</v>
      </c>
      <c r="G12" s="27">
        <f>+VLOOKUP($B12,'3er Trimestre'!$D$6:$M$56,6,FALSE)</f>
        <v>0</v>
      </c>
      <c r="H12" s="30">
        <f>+VLOOKUP($B12,'3er Trimestre'!$D$6:$M$56,7,FALSE)</f>
        <v>1175992</v>
      </c>
      <c r="I12" s="405" t="e">
        <f>[1]ene14!I12+[1]feb14!I12+[1]mar14!I12+#REF!+#REF!+#REF!+#REF!+#REF!+#REF!+#REF!</f>
        <v>#REF!</v>
      </c>
      <c r="J12" s="31">
        <f t="shared" si="0"/>
        <v>0.81501410344373515</v>
      </c>
      <c r="L12" s="60" t="s">
        <v>83</v>
      </c>
      <c r="M12" s="61" t="e">
        <f>+#REF!</f>
        <v>#REF!</v>
      </c>
      <c r="N12" s="62">
        <v>129.51669864860969</v>
      </c>
    </row>
    <row r="13" spans="1:14" ht="15.75" thickBot="1">
      <c r="A13" s="408"/>
      <c r="B13" s="26" t="s">
        <v>66</v>
      </c>
      <c r="C13" s="27">
        <v>1.6</v>
      </c>
      <c r="D13" s="28">
        <f>+VLOOKUP($B13,'3er Trimestre'!$D$6:$M$56,3,FALSE)</f>
        <v>415.72999999999996</v>
      </c>
      <c r="E13" s="29">
        <f>+VLOOKUP($B13,'3er Trimestre'!$D$6:$M$56,4,FALSE)</f>
        <v>604735</v>
      </c>
      <c r="F13" s="403">
        <f>+E13+E14</f>
        <v>1263461</v>
      </c>
      <c r="G13" s="29">
        <f>+VLOOKUP($B13,'3er Trimestre'!$D$6:$M$56,6,FALSE)</f>
        <v>23201</v>
      </c>
      <c r="H13" s="30">
        <f>+VLOOKUP($B13,'3er Trimestre'!$D$6:$M$56,7,FALSE)</f>
        <v>581534</v>
      </c>
      <c r="I13" s="406">
        <f>+H13+H14</f>
        <v>1240260</v>
      </c>
      <c r="J13" s="31">
        <f t="shared" si="0"/>
        <v>1.454634017270825</v>
      </c>
      <c r="L13" s="63" t="s">
        <v>84</v>
      </c>
      <c r="M13" s="64" t="e">
        <f>+#REF!</f>
        <v>#REF!</v>
      </c>
      <c r="N13" s="65">
        <v>125.09817560138842</v>
      </c>
    </row>
    <row r="14" spans="1:14" ht="15.75" thickBot="1">
      <c r="A14" s="408"/>
      <c r="B14" s="26" t="s">
        <v>67</v>
      </c>
      <c r="C14" s="27">
        <v>1.6</v>
      </c>
      <c r="D14" s="28">
        <f>+VLOOKUP($B14,'3er Trimestre'!$D$6:$M$56,3,FALSE)</f>
        <v>517.78</v>
      </c>
      <c r="E14" s="29">
        <f>+VLOOKUP($B14,'3er Trimestre'!$D$6:$M$56,4,FALSE)</f>
        <v>658726</v>
      </c>
      <c r="F14" s="402" t="e">
        <f>[1]ene14!F14+[1]feb14!F14+[1]mar14!F14+#REF!+#REF!+#REF!+#REF!+#REF!+#REF!+#REF!</f>
        <v>#REF!</v>
      </c>
      <c r="G14" s="27">
        <f>+VLOOKUP($B14,'3er Trimestre'!$D$6:$M$56,6,FALSE)</f>
        <v>0</v>
      </c>
      <c r="H14" s="30">
        <f>+VLOOKUP($B14,'3er Trimestre'!$D$6:$M$56,7,FALSE)</f>
        <v>658726</v>
      </c>
      <c r="I14" s="405" t="e">
        <f>[1]ene14!I14+[1]feb14!I14+[1]mar14!I14+#REF!+#REF!+#REF!+#REF!+#REF!+#REF!+#REF!</f>
        <v>#REF!</v>
      </c>
      <c r="J14" s="31">
        <f t="shared" si="0"/>
        <v>1.272212136428599</v>
      </c>
      <c r="L14" s="66" t="s">
        <v>85</v>
      </c>
      <c r="M14" s="67" t="e">
        <f>SUM(M2:M13)</f>
        <v>#REF!</v>
      </c>
      <c r="N14" s="67">
        <f>SUM(N2:N4)</f>
        <v>357.40034142900572</v>
      </c>
    </row>
    <row r="15" spans="1:14" ht="15.75" thickBot="1">
      <c r="A15" s="408"/>
      <c r="B15" s="26" t="s">
        <v>64</v>
      </c>
      <c r="C15" s="27">
        <v>1.95</v>
      </c>
      <c r="D15" s="28">
        <f>+VLOOKUP($B15,'3er Trimestre'!$D$6:$M$56,3,FALSE)</f>
        <v>2027.6999999999998</v>
      </c>
      <c r="E15" s="29">
        <f>+VLOOKUP($B15,'3er Trimestre'!$D$6:$M$56,4,FALSE)</f>
        <v>2274156</v>
      </c>
      <c r="F15" s="403">
        <f>+E15+E16</f>
        <v>4748124</v>
      </c>
      <c r="G15" s="29">
        <f>+VLOOKUP($B15,'3er Trimestre'!$D$6:$M$56,6,FALSE)</f>
        <v>75198</v>
      </c>
      <c r="H15" s="30">
        <f>+VLOOKUP($B15,'3er Trimestre'!$D$6:$M$56,7,FALSE)</f>
        <v>2198958</v>
      </c>
      <c r="I15" s="406">
        <f>+H15+H16</f>
        <v>4672926</v>
      </c>
      <c r="J15" s="31">
        <f t="shared" si="0"/>
        <v>1.1215446071904129</v>
      </c>
    </row>
    <row r="16" spans="1:14" ht="15.75" thickBot="1">
      <c r="A16" s="408"/>
      <c r="B16" s="26" t="s">
        <v>65</v>
      </c>
      <c r="C16" s="27">
        <v>1.95</v>
      </c>
      <c r="D16" s="28">
        <f>+VLOOKUP($B16,'3er Trimestre'!$D$6:$M$56,3,FALSE)</f>
        <v>2055.4299999999998</v>
      </c>
      <c r="E16" s="29">
        <f>+VLOOKUP($B16,'3er Trimestre'!$D$6:$M$56,4,FALSE)</f>
        <v>2473968</v>
      </c>
      <c r="F16" s="402" t="e">
        <f>[1]ene14!F16+[1]feb14!F16+[1]mar14!F16+#REF!+#REF!+#REF!+#REF!+#REF!+#REF!+#REF!</f>
        <v>#REF!</v>
      </c>
      <c r="G16" s="29">
        <f>+VLOOKUP($B16,'3er Trimestre'!$D$6:$M$56,6,FALSE)</f>
        <v>0</v>
      </c>
      <c r="H16" s="30">
        <f>+VLOOKUP($B16,'3er Trimestre'!$D$6:$M$56,7,FALSE)</f>
        <v>2473968</v>
      </c>
      <c r="I16" s="405" t="e">
        <f>[1]ene14!I16+[1]feb14!I16+[1]mar14!I16+#REF!+#REF!+#REF!+#REF!+#REF!+#REF!+#REF!</f>
        <v>#REF!</v>
      </c>
      <c r="J16" s="31">
        <f t="shared" si="0"/>
        <v>1.2036255187479019</v>
      </c>
      <c r="L16" s="13"/>
      <c r="N16" s="13" t="e">
        <f>M14-N14</f>
        <v>#REF!</v>
      </c>
    </row>
    <row r="17" spans="1:14" ht="15.75" thickBot="1">
      <c r="A17" s="33"/>
      <c r="B17" s="26" t="s">
        <v>32</v>
      </c>
      <c r="C17" s="27">
        <v>2.8</v>
      </c>
      <c r="D17" s="28">
        <f>+VLOOKUP($B17,'3er Trimestre'!$D$6:$M$56,3,FALSE)</f>
        <v>1457.14</v>
      </c>
      <c r="E17" s="29">
        <f>+VLOOKUP($B17,'3er Trimestre'!$D$6:$M$56,4,FALSE)</f>
        <v>1757792</v>
      </c>
      <c r="F17" s="30">
        <f>+E17</f>
        <v>1757792</v>
      </c>
      <c r="G17" s="29">
        <f>+VLOOKUP($B17,'3er Trimestre'!$D$6:$M$56,6,FALSE)</f>
        <v>42137</v>
      </c>
      <c r="H17" s="30">
        <f>+VLOOKUP($B17,'3er Trimestre'!$D$6:$M$56,7,FALSE)</f>
        <v>1715655</v>
      </c>
      <c r="I17" s="29">
        <f>+H17</f>
        <v>1715655</v>
      </c>
      <c r="J17" s="31">
        <f t="shared" si="0"/>
        <v>1.2063302084906047</v>
      </c>
      <c r="L17" s="13"/>
      <c r="N17" s="13"/>
    </row>
    <row r="18" spans="1:14" ht="15.75" thickBot="1">
      <c r="A18" s="394" t="s">
        <v>33</v>
      </c>
      <c r="B18" s="395"/>
      <c r="C18" s="34">
        <f>SUM(C2:C17)</f>
        <v>17.809999999999999</v>
      </c>
      <c r="D18" s="35">
        <f t="shared" ref="D18:J18" si="1">SUM(D2:D17)</f>
        <v>16683.71</v>
      </c>
      <c r="E18" s="36">
        <f t="shared" si="1"/>
        <v>13120752</v>
      </c>
      <c r="F18" s="37">
        <f>+F2+F3+F4+F6+F8+F9+F10+F11+F13+F15+F17</f>
        <v>13120752</v>
      </c>
      <c r="G18" s="38">
        <f t="shared" si="1"/>
        <v>238651</v>
      </c>
      <c r="H18" s="38">
        <f t="shared" si="1"/>
        <v>12884489</v>
      </c>
      <c r="I18" s="37">
        <f>+I2+I3+I4+I6+I8+I9+I10+I11+I13+I15+I17</f>
        <v>12884489</v>
      </c>
      <c r="J18" s="39">
        <f t="shared" si="1"/>
        <v>10.10416549643308</v>
      </c>
      <c r="K18" s="68"/>
      <c r="L18" s="19"/>
      <c r="N18" s="69" t="e">
        <f>N16/N14</f>
        <v>#REF!</v>
      </c>
    </row>
    <row r="19" spans="1:14" ht="15" customHeight="1" thickBot="1">
      <c r="A19" s="398" t="s">
        <v>101</v>
      </c>
      <c r="B19" s="26" t="s">
        <v>62</v>
      </c>
      <c r="C19" s="27">
        <v>4.8499999999999996</v>
      </c>
      <c r="D19" s="28">
        <f>+VLOOKUP($B19,'3er Trimestre'!$D$6:$M$56,3,FALSE)</f>
        <v>1694.17</v>
      </c>
      <c r="E19" s="29">
        <f>+VLOOKUP($B19,'3er Trimestre'!$D$6:$M$56,4,FALSE)</f>
        <v>5021400</v>
      </c>
      <c r="F19" s="401">
        <f>+E19+E20</f>
        <v>9321000</v>
      </c>
      <c r="G19" s="29">
        <f>+VLOOKUP($B19,'3er Trimestre'!$D$6:$M$56,6,FALSE)</f>
        <v>46986</v>
      </c>
      <c r="H19" s="30">
        <f>+VLOOKUP($B19,'3er Trimestre'!$D$6:$M$56,7,FALSE)</f>
        <v>4974414</v>
      </c>
      <c r="I19" s="404">
        <f>+H19+H20</f>
        <v>9274014</v>
      </c>
      <c r="J19" s="40">
        <f t="shared" si="0"/>
        <v>2.9639292396866899</v>
      </c>
    </row>
    <row r="20" spans="1:14" ht="15.75" thickBot="1">
      <c r="A20" s="399"/>
      <c r="B20" s="26" t="s">
        <v>63</v>
      </c>
      <c r="C20" s="27">
        <v>4.8499999999999996</v>
      </c>
      <c r="D20" s="28">
        <f>+VLOOKUP($B20,'3er Trimestre'!$D$6:$M$56,3,FALSE)</f>
        <v>1695.76</v>
      </c>
      <c r="E20" s="29">
        <f>+VLOOKUP($B20,'3er Trimestre'!$D$6:$M$56,4,FALSE)</f>
        <v>4299600</v>
      </c>
      <c r="F20" s="402" t="e">
        <f>[1]ene14!F18+[1]feb14!F18+[1]mar14!F18+#REF!+#REF!+#REF!+#REF!+#REF!+#REF!+#REF!</f>
        <v>#REF!</v>
      </c>
      <c r="G20" s="27">
        <f>+VLOOKUP($B20,'3er Trimestre'!$D$6:$M$56,6,FALSE)</f>
        <v>0</v>
      </c>
      <c r="H20" s="30">
        <f>+VLOOKUP($B20,'3er Trimestre'!$D$6:$M$56,7,FALSE)</f>
        <v>4299600</v>
      </c>
      <c r="I20" s="405" t="e">
        <f>[1]ene14!I18+[1]feb14!I18+[1]mar14!I18+#REF!+#REF!+#REF!+#REF!+#REF!+#REF!+#REF!</f>
        <v>#REF!</v>
      </c>
      <c r="J20" s="31">
        <f t="shared" si="0"/>
        <v>2.5355003066471671</v>
      </c>
    </row>
    <row r="21" spans="1:14" ht="15.75" thickBot="1">
      <c r="A21" s="399"/>
      <c r="B21" s="26" t="s">
        <v>60</v>
      </c>
      <c r="C21" s="27">
        <v>6.3</v>
      </c>
      <c r="D21" s="28">
        <f>+VLOOKUP($B21,'3er Trimestre'!$D$6:$M$56,3,FALSE)</f>
        <v>2134.56</v>
      </c>
      <c r="E21" s="29">
        <f>+VLOOKUP($B21,'3er Trimestre'!$D$6:$M$56,4,FALSE)</f>
        <v>10428200</v>
      </c>
      <c r="F21" s="30">
        <f>+E21</f>
        <v>10428200</v>
      </c>
      <c r="G21" s="29">
        <f>+VLOOKUP($B21,'3er Trimestre'!$D$6:$M$56,6,FALSE)</f>
        <v>38950</v>
      </c>
      <c r="H21" s="30">
        <f>+VLOOKUP($B21,'3er Trimestre'!$D$6:$M$56,7,FALSE)</f>
        <v>10389250</v>
      </c>
      <c r="I21" s="29">
        <f>+H21</f>
        <v>10389250</v>
      </c>
      <c r="J21" s="31">
        <f t="shared" si="0"/>
        <v>4.8854096394573121</v>
      </c>
    </row>
    <row r="22" spans="1:14" ht="15.75" thickBot="1">
      <c r="A22" s="399"/>
      <c r="B22" s="26" t="s">
        <v>61</v>
      </c>
      <c r="C22" s="27">
        <v>7.5</v>
      </c>
      <c r="D22" s="28">
        <f>+VLOOKUP($B22,'3er Trimestre'!$D$6:$M$56,3,FALSE)</f>
        <v>1853.24</v>
      </c>
      <c r="E22" s="29">
        <f>+VLOOKUP($B22,'3er Trimestre'!$D$6:$M$56,4,FALSE)</f>
        <v>2568772</v>
      </c>
      <c r="F22" s="30">
        <f>+E22</f>
        <v>2568772</v>
      </c>
      <c r="G22" s="29">
        <f>+VLOOKUP($B22,'3er Trimestre'!$D$6:$M$56,6,FALSE)</f>
        <v>28044</v>
      </c>
      <c r="H22" s="30">
        <f>+VLOOKUP($B22,'3er Trimestre'!$D$6:$M$56,7,FALSE)</f>
        <v>2540728</v>
      </c>
      <c r="I22" s="29">
        <f>+H22</f>
        <v>2540728</v>
      </c>
      <c r="J22" s="31">
        <f t="shared" si="0"/>
        <v>1.3860978610433619</v>
      </c>
    </row>
    <row r="23" spans="1:14" ht="15.75" thickBot="1">
      <c r="A23" s="399"/>
      <c r="B23" s="26" t="s">
        <v>36</v>
      </c>
      <c r="C23" s="27">
        <v>8</v>
      </c>
      <c r="D23" s="28" t="e">
        <f>+VLOOKUP($B23,'3er Trimestre'!$D$6:$M$56,3,FALSE)</f>
        <v>#N/A</v>
      </c>
      <c r="E23" s="29" t="e">
        <f>+VLOOKUP($B23,'3er Trimestre'!$D$6:$M$56,4,FALSE)</f>
        <v>#N/A</v>
      </c>
      <c r="F23" s="30" t="e">
        <f>+E23</f>
        <v>#N/A</v>
      </c>
      <c r="G23" s="29" t="e">
        <f>+VLOOKUP($B23,'3er Trimestre'!$D$6:$M$56,6,FALSE)</f>
        <v>#N/A</v>
      </c>
      <c r="H23" s="30" t="e">
        <f>+VLOOKUP($B23,'3er Trimestre'!$D$6:$M$56,7,FALSE)</f>
        <v>#N/A</v>
      </c>
      <c r="I23" s="29" t="e">
        <f>+H23</f>
        <v>#N/A</v>
      </c>
      <c r="J23" s="31">
        <f t="shared" si="0"/>
        <v>0</v>
      </c>
    </row>
    <row r="24" spans="1:14" ht="15.75" thickBot="1">
      <c r="A24" s="399"/>
      <c r="B24" s="26" t="s">
        <v>37</v>
      </c>
      <c r="C24" s="27">
        <v>8.4</v>
      </c>
      <c r="D24" s="28">
        <f>+VLOOKUP($B24,'3er Trimestre'!$D$6:$M$56,3,FALSE)</f>
        <v>0</v>
      </c>
      <c r="E24" s="29">
        <f>+VLOOKUP($B24,'3er Trimestre'!$D$6:$M$56,4,FALSE)</f>
        <v>0</v>
      </c>
      <c r="F24" s="30">
        <f>+E24</f>
        <v>0</v>
      </c>
      <c r="G24" s="29">
        <f>+VLOOKUP($B24,'3er Trimestre'!$D$6:$M$56,6,FALSE)</f>
        <v>29020</v>
      </c>
      <c r="H24" s="30">
        <f>+VLOOKUP($B24,'3er Trimestre'!$D$6:$M$56,7,FALSE)</f>
        <v>0</v>
      </c>
      <c r="I24" s="29">
        <f>+H24</f>
        <v>0</v>
      </c>
      <c r="J24" s="31">
        <f t="shared" si="0"/>
        <v>0</v>
      </c>
    </row>
    <row r="25" spans="1:14" ht="15.75" thickBot="1">
      <c r="A25" s="399"/>
      <c r="B25" s="26" t="s">
        <v>35</v>
      </c>
      <c r="C25" s="27">
        <v>10.1</v>
      </c>
      <c r="D25" s="28">
        <f>+VLOOKUP($B25,'3er Trimestre'!$D$6:$M$56,3,FALSE)</f>
        <v>793.78</v>
      </c>
      <c r="E25" s="29">
        <f>+VLOOKUP($B25,'3er Trimestre'!$D$6:$M$56,4,FALSE)</f>
        <v>5710000</v>
      </c>
      <c r="F25" s="30">
        <f>+E25</f>
        <v>5710000</v>
      </c>
      <c r="G25" s="29">
        <f>+VLOOKUP($B25,'3er Trimestre'!$D$6:$M$56,6,FALSE)</f>
        <v>55488</v>
      </c>
      <c r="H25" s="30">
        <f>+VLOOKUP($B25,'3er Trimestre'!$D$6:$M$56,7,FALSE)</f>
        <v>5654512</v>
      </c>
      <c r="I25" s="29">
        <f>+H25</f>
        <v>5654512</v>
      </c>
      <c r="J25" s="31">
        <f t="shared" si="0"/>
        <v>7.1934289097734894</v>
      </c>
    </row>
    <row r="26" spans="1:14" ht="15.75" thickBot="1">
      <c r="A26" s="399"/>
      <c r="B26" s="26" t="s">
        <v>38</v>
      </c>
      <c r="C26" s="27">
        <v>12.5</v>
      </c>
      <c r="D26" s="28">
        <f>+VLOOKUP($B26,'3er Trimestre'!$D$6:$M$56,3,FALSE)</f>
        <v>1608.1200000000001</v>
      </c>
      <c r="E26" s="29">
        <f>+VLOOKUP($B26,'3er Trimestre'!$D$6:$M$56,4,FALSE)</f>
        <v>19142000</v>
      </c>
      <c r="F26" s="403">
        <f>+E26+E27</f>
        <v>37418000</v>
      </c>
      <c r="G26" s="29">
        <f>+VLOOKUP($B26,'3er Trimestre'!$D$6:$M$56,6,FALSE)</f>
        <v>212790</v>
      </c>
      <c r="H26" s="30">
        <f>+VLOOKUP($B26,'3er Trimestre'!$D$6:$M$56,7,FALSE)</f>
        <v>18929210</v>
      </c>
      <c r="I26" s="406">
        <f>+H26+H27</f>
        <v>37205210</v>
      </c>
      <c r="J26" s="31">
        <f t="shared" si="0"/>
        <v>11.903340546725367</v>
      </c>
    </row>
    <row r="27" spans="1:14" ht="15.75" thickBot="1">
      <c r="A27" s="399"/>
      <c r="B27" s="26" t="s">
        <v>39</v>
      </c>
      <c r="C27" s="27">
        <v>12.5</v>
      </c>
      <c r="D27" s="28">
        <f>+VLOOKUP($B27,'3er Trimestre'!$D$6:$M$56,3,FALSE)</f>
        <v>1520.9599999999998</v>
      </c>
      <c r="E27" s="29">
        <f>+VLOOKUP($B27,'3er Trimestre'!$D$6:$M$56,4,FALSE)</f>
        <v>18276000</v>
      </c>
      <c r="F27" s="402" t="e">
        <f>[1]ene14!F25+[1]feb14!F25+[1]mar14!F25+#REF!+#REF!+#REF!+#REF!+#REF!+#REF!+#REF!</f>
        <v>#REF!</v>
      </c>
      <c r="G27" s="29">
        <f>+VLOOKUP($B27,'3er Trimestre'!$D$6:$M$56,6,FALSE)</f>
        <v>0</v>
      </c>
      <c r="H27" s="30">
        <f>+VLOOKUP($B27,'3er Trimestre'!$D$6:$M$56,7,FALSE)</f>
        <v>18276000</v>
      </c>
      <c r="I27" s="405"/>
      <c r="J27" s="31">
        <f t="shared" si="0"/>
        <v>12.016095097832949</v>
      </c>
    </row>
    <row r="28" spans="1:14" ht="15.75" thickBot="1">
      <c r="A28" s="399"/>
      <c r="B28" s="26" t="s">
        <v>59</v>
      </c>
      <c r="C28" s="27">
        <v>13</v>
      </c>
      <c r="D28" s="28">
        <f>+VLOOKUP($B28,'3er Trimestre'!$D$6:$M$56,3,FALSE)</f>
        <v>1890.03</v>
      </c>
      <c r="E28" s="29">
        <f>+VLOOKUP($B28,'3er Trimestre'!$D$6:$M$56,4,FALSE)</f>
        <v>16989296</v>
      </c>
      <c r="F28" s="30">
        <f>+E28</f>
        <v>16989296</v>
      </c>
      <c r="G28" s="29">
        <f>+VLOOKUP($B28,'3er Trimestre'!$D$6:$M$56,6,FALSE)</f>
        <v>63698</v>
      </c>
      <c r="H28" s="30">
        <f>+VLOOKUP($B28,'3er Trimestre'!$D$6:$M$56,7,FALSE)</f>
        <v>16925598</v>
      </c>
      <c r="I28" s="29">
        <f>+H28</f>
        <v>16925598</v>
      </c>
      <c r="J28" s="31">
        <f t="shared" si="0"/>
        <v>8.9889028216483329</v>
      </c>
    </row>
    <row r="29" spans="1:14" ht="15.75" thickBot="1">
      <c r="A29" s="399"/>
      <c r="B29" s="26" t="s">
        <v>19</v>
      </c>
      <c r="C29" s="27">
        <v>18</v>
      </c>
      <c r="D29" s="28">
        <f>+VLOOKUP($B29,'3er Trimestre'!$D$6:$M$56,3,FALSE)</f>
        <v>2193.29</v>
      </c>
      <c r="E29" s="29">
        <f>+VLOOKUP($B29,'3er Trimestre'!$D$6:$M$56,4,FALSE)</f>
        <v>15287300</v>
      </c>
      <c r="F29" s="30">
        <f>+E29</f>
        <v>15287300</v>
      </c>
      <c r="G29" s="29">
        <f>+VLOOKUP($B29,'3er Trimestre'!$D$6:$M$56,6,FALSE)</f>
        <v>86411</v>
      </c>
      <c r="H29" s="30">
        <f>+VLOOKUP($B29,'3er Trimestre'!$D$6:$M$56,7,FALSE)</f>
        <v>15200889</v>
      </c>
      <c r="I29" s="29">
        <f>+H29</f>
        <v>15200889</v>
      </c>
      <c r="J29" s="31">
        <f t="shared" si="0"/>
        <v>6.970031322807289</v>
      </c>
      <c r="L29" s="19"/>
    </row>
    <row r="30" spans="1:14" ht="15.75" thickBot="1">
      <c r="A30" s="399"/>
      <c r="B30" s="26" t="s">
        <v>44</v>
      </c>
      <c r="C30" s="27">
        <v>25</v>
      </c>
      <c r="D30" s="28">
        <f>+VLOOKUP($B30,'3er Trimestre'!$D$6:$M$56,3,FALSE)</f>
        <v>1147.53</v>
      </c>
      <c r="E30" s="29">
        <f>+VLOOKUP($B30,'3er Trimestre'!$D$6:$M$56,4,FALSE)</f>
        <v>19593000</v>
      </c>
      <c r="F30" s="403">
        <f>+E30+E31</f>
        <v>29440700</v>
      </c>
      <c r="G30" s="29">
        <f>+VLOOKUP($B30,'3er Trimestre'!$D$6:$M$56,6,FALSE)</f>
        <v>220183</v>
      </c>
      <c r="H30" s="30">
        <f>+VLOOKUP($B30,'3er Trimestre'!$D$6:$M$56,7,FALSE)</f>
        <v>19372817</v>
      </c>
      <c r="I30" s="406">
        <f>+H30+H31</f>
        <v>29220517</v>
      </c>
      <c r="J30" s="31">
        <f t="shared" si="0"/>
        <v>17.07406342317848</v>
      </c>
      <c r="L30" s="19"/>
    </row>
    <row r="31" spans="1:14" ht="15.75" thickBot="1">
      <c r="A31" s="399"/>
      <c r="B31" s="26" t="s">
        <v>45</v>
      </c>
      <c r="C31" s="27">
        <v>25</v>
      </c>
      <c r="D31" s="28">
        <f>+VLOOKUP($B31,'3er Trimestre'!$D$6:$M$56,3,FALSE)</f>
        <v>464.65</v>
      </c>
      <c r="E31" s="29">
        <f>+VLOOKUP($B31,'3er Trimestre'!$D$6:$M$56,4,FALSE)</f>
        <v>9847700</v>
      </c>
      <c r="F31" s="402" t="e">
        <f>[1]ene14!F29+[1]feb14!F29+[1]mar14!F29+#REF!+#REF!+#REF!+#REF!+#REF!+#REF!+#REF!</f>
        <v>#REF!</v>
      </c>
      <c r="G31" s="27">
        <f>+VLOOKUP($B31,'3er Trimestre'!$D$6:$M$56,6,FALSE)</f>
        <v>0</v>
      </c>
      <c r="H31" s="30">
        <f>+VLOOKUP($B31,'3er Trimestre'!$D$6:$M$56,7,FALSE)</f>
        <v>9847700</v>
      </c>
      <c r="I31" s="405"/>
      <c r="J31" s="31">
        <f t="shared" si="0"/>
        <v>21.193801786290759</v>
      </c>
      <c r="L31" s="19"/>
    </row>
    <row r="32" spans="1:14" ht="15.75" thickBot="1">
      <c r="A32" s="399"/>
      <c r="B32" s="26" t="s">
        <v>21</v>
      </c>
      <c r="C32" s="27">
        <v>26</v>
      </c>
      <c r="D32" s="28">
        <f>+VLOOKUP($B32,'3er Trimestre'!$D$6:$M$56,3,FALSE)</f>
        <v>727.1</v>
      </c>
      <c r="E32" s="29">
        <f>+VLOOKUP($B32,'3er Trimestre'!$D$6:$M$56,4,FALSE)</f>
        <v>14582911</v>
      </c>
      <c r="F32" s="403">
        <f>+E32+E33</f>
        <v>29802332</v>
      </c>
      <c r="G32" s="29">
        <f>+VLOOKUP($B32,'3er Trimestre'!$D$6:$M$56,6,FALSE)</f>
        <v>131982</v>
      </c>
      <c r="H32" s="30">
        <f>+VLOOKUP($B32,'3er Trimestre'!$D$6:$M$56,7,FALSE)</f>
        <v>14450929</v>
      </c>
      <c r="I32" s="406">
        <f>+H32+H33</f>
        <v>29670350</v>
      </c>
      <c r="J32" s="31">
        <f t="shared" si="0"/>
        <v>20.056265988172189</v>
      </c>
    </row>
    <row r="33" spans="1:11" ht="15.75" thickBot="1">
      <c r="A33" s="399"/>
      <c r="B33" s="26" t="s">
        <v>22</v>
      </c>
      <c r="C33" s="27">
        <v>26</v>
      </c>
      <c r="D33" s="28">
        <f>+VLOOKUP($B33,'3er Trimestre'!$D$6:$M$56,3,FALSE)</f>
        <v>756.23</v>
      </c>
      <c r="E33" s="29">
        <f>+VLOOKUP($B33,'3er Trimestre'!$D$6:$M$56,4,FALSE)</f>
        <v>15219421</v>
      </c>
      <c r="F33" s="402" t="e">
        <f>[1]ene14!F31+[1]feb14!F31+[1]mar14!F31+#REF!+#REF!+#REF!+#REF!+#REF!+#REF!+#REF!</f>
        <v>#REF!</v>
      </c>
      <c r="G33" s="27">
        <f>+VLOOKUP($B33,'3er Trimestre'!$D$6:$M$56,6,FALSE)</f>
        <v>0</v>
      </c>
      <c r="H33" s="30">
        <f>+VLOOKUP($B33,'3er Trimestre'!$D$6:$M$56,7,FALSE)</f>
        <v>15219421</v>
      </c>
      <c r="I33" s="405"/>
      <c r="J33" s="31">
        <f t="shared" si="0"/>
        <v>20.125386456501328</v>
      </c>
    </row>
    <row r="34" spans="1:11" ht="15.75" thickBot="1">
      <c r="A34" s="399"/>
      <c r="B34" s="26" t="s">
        <v>49</v>
      </c>
      <c r="C34" s="27">
        <v>27</v>
      </c>
      <c r="D34" s="28">
        <f>+VLOOKUP($B34,'3er Trimestre'!$D$6:$M$56,3,FALSE)</f>
        <v>677.63000000000011</v>
      </c>
      <c r="E34" s="29">
        <f>+VLOOKUP($B34,'3er Trimestre'!$D$6:$M$56,4,FALSE)</f>
        <v>15583985</v>
      </c>
      <c r="F34" s="403">
        <f>+E34+E35</f>
        <v>22313885</v>
      </c>
      <c r="G34" s="29">
        <f>+VLOOKUP($B34,'3er Trimestre'!$D$6:$M$56,6,FALSE)</f>
        <v>65356</v>
      </c>
      <c r="H34" s="30">
        <f>+VLOOKUP($B34,'3er Trimestre'!$D$6:$M$56,7,FALSE)</f>
        <v>15518629</v>
      </c>
      <c r="I34" s="406">
        <f>+H34+H35</f>
        <v>22248529</v>
      </c>
      <c r="J34" s="31">
        <f t="shared" si="0"/>
        <v>22.997779023951122</v>
      </c>
    </row>
    <row r="35" spans="1:11" ht="15.75" thickBot="1">
      <c r="A35" s="400"/>
      <c r="B35" s="41" t="s">
        <v>50</v>
      </c>
      <c r="C35" s="42">
        <v>27</v>
      </c>
      <c r="D35" s="43">
        <f>+VLOOKUP($B35,'3er Trimestre'!$D$6:$M$56,3,FALSE)</f>
        <v>373.15999999999997</v>
      </c>
      <c r="E35" s="44">
        <f>+VLOOKUP($B35,'3er Trimestre'!$D$6:$M$56,4,FALSE)</f>
        <v>6729900</v>
      </c>
      <c r="F35" s="402" t="e">
        <f>[1]ene14!F33+[1]feb14!F33+[1]mar14!F33+#REF!+#REF!+#REF!+#REF!+#REF!+#REF!+#REF!</f>
        <v>#REF!</v>
      </c>
      <c r="G35" s="42">
        <f>+VLOOKUP($B35,'3er Trimestre'!$D$6:$M$56,6,FALSE)</f>
        <v>0</v>
      </c>
      <c r="H35" s="45">
        <f>+VLOOKUP($B35,'3er Trimestre'!$D$6:$M$56,7,FALSE)</f>
        <v>6729900</v>
      </c>
      <c r="I35" s="405"/>
      <c r="J35" s="46">
        <f t="shared" si="0"/>
        <v>18.034891199485475</v>
      </c>
    </row>
    <row r="36" spans="1:11" ht="15.75" thickBot="1">
      <c r="A36" s="394" t="s">
        <v>33</v>
      </c>
      <c r="B36" s="395"/>
      <c r="C36" s="47">
        <f>SUM(C19:C35)</f>
        <v>262</v>
      </c>
      <c r="D36" s="48" t="e">
        <f>SUM(D19:D35)</f>
        <v>#N/A</v>
      </c>
      <c r="E36" s="49" t="e">
        <f t="shared" ref="E36:G36" si="2">SUM(E19:E35)</f>
        <v>#N/A</v>
      </c>
      <c r="F36" s="50" t="e">
        <f>+F19+F21+F22+F23+F24+F25+F26+F28+F29+F30+F32+F34</f>
        <v>#N/A</v>
      </c>
      <c r="G36" s="38" t="e">
        <f t="shared" si="2"/>
        <v>#N/A</v>
      </c>
      <c r="H36" s="38" t="e">
        <f t="shared" ref="H36" si="3">SUM(H19:H35)</f>
        <v>#N/A</v>
      </c>
      <c r="I36" s="37" t="e">
        <f>+I19+I21+I22+I23+I24+I25+I26+I28+I29+I30+I32+I34</f>
        <v>#N/A</v>
      </c>
      <c r="J36" s="51">
        <f t="shared" ref="J36" si="4">SUM(J19:J35)</f>
        <v>178.32492362320133</v>
      </c>
      <c r="K36" s="69"/>
    </row>
    <row r="37" spans="1:11" ht="15" customHeight="1" thickBot="1">
      <c r="A37" s="398" t="s">
        <v>102</v>
      </c>
      <c r="B37" s="52" t="s">
        <v>53</v>
      </c>
      <c r="C37" s="27">
        <v>30</v>
      </c>
      <c r="D37" s="28">
        <f>+VLOOKUP($B37,'3er Trimestre'!$D$6:$M$56,3,FALSE)</f>
        <v>1117.17</v>
      </c>
      <c r="E37" s="29">
        <f>+VLOOKUP($B37,'3er Trimestre'!$D$6:$M$56,4,FALSE)</f>
        <v>28494145</v>
      </c>
      <c r="F37" s="401">
        <f>+E37+E38</f>
        <v>61492097</v>
      </c>
      <c r="G37" s="29">
        <f>+VLOOKUP($B37,'3er Trimestre'!$D$6:$M$56,6,FALSE)</f>
        <v>293698</v>
      </c>
      <c r="H37" s="30">
        <f>+VLOOKUP($B37,'3er Trimestre'!$D$6:$M$56,7,FALSE)</f>
        <v>28200447</v>
      </c>
      <c r="I37" s="404">
        <f>+H37+H38</f>
        <v>61198399</v>
      </c>
      <c r="J37" s="31">
        <f>IFERROR((E37/1000)/D37,0)</f>
        <v>25.505648200363417</v>
      </c>
    </row>
    <row r="38" spans="1:11" ht="15.75" thickBot="1">
      <c r="A38" s="399"/>
      <c r="B38" s="52" t="s">
        <v>54</v>
      </c>
      <c r="C38" s="27">
        <v>30</v>
      </c>
      <c r="D38" s="28">
        <f>+VLOOKUP($B38,'3er Trimestre'!$D$6:$M$56,3,FALSE)</f>
        <v>1244.3700000000001</v>
      </c>
      <c r="E38" s="29">
        <f>+VLOOKUP($B38,'3er Trimestre'!$D$6:$M$56,4,FALSE)</f>
        <v>32997952</v>
      </c>
      <c r="F38" s="402" t="e">
        <f>[1]ene14!F35+[1]feb14!F35+[1]mar14!F35+#REF!+#REF!+#REF!+#REF!+#REF!+#REF!+#REF!</f>
        <v>#REF!</v>
      </c>
      <c r="G38" s="29">
        <f>+VLOOKUP($B38,'3er Trimestre'!$D$6:$M$56,6,FALSE)</f>
        <v>0</v>
      </c>
      <c r="H38" s="30">
        <f>+VLOOKUP($B38,'3er Trimestre'!$D$6:$M$56,7,FALSE)</f>
        <v>32997952</v>
      </c>
      <c r="I38" s="405"/>
      <c r="J38" s="31">
        <f t="shared" si="0"/>
        <v>26.517797761116061</v>
      </c>
    </row>
    <row r="39" spans="1:11" ht="15.75" thickBot="1">
      <c r="A39" s="399"/>
      <c r="B39" s="52" t="s">
        <v>103</v>
      </c>
      <c r="C39" s="27">
        <v>40</v>
      </c>
      <c r="D39" s="28">
        <f>+VLOOKUP($B39,'3er Trimestre'!$D$6:$M$56,3,FALSE)</f>
        <v>437.58000000000004</v>
      </c>
      <c r="E39" s="29">
        <f>+VLOOKUP($B39,'3er Trimestre'!$D$6:$M$56,4,FALSE)</f>
        <v>14603712</v>
      </c>
      <c r="F39" s="403">
        <f>+E39+E40</f>
        <v>29369792</v>
      </c>
      <c r="G39" s="29">
        <f>+VLOOKUP($B39,'3er Trimestre'!$D$6:$M$56,6,FALSE)</f>
        <v>304215</v>
      </c>
      <c r="H39" s="30">
        <f>+VLOOKUP($B39,'3er Trimestre'!$D$6:$M$56,7,FALSE)</f>
        <v>14299497</v>
      </c>
      <c r="I39" s="406">
        <f t="shared" ref="I39" si="5">+H39+H40</f>
        <v>29065577</v>
      </c>
      <c r="J39" s="31">
        <f t="shared" si="0"/>
        <v>33.373810503222266</v>
      </c>
    </row>
    <row r="40" spans="1:11" ht="15.75" thickBot="1">
      <c r="A40" s="399"/>
      <c r="B40" s="52" t="s">
        <v>104</v>
      </c>
      <c r="C40" s="27">
        <v>40</v>
      </c>
      <c r="D40" s="28">
        <f>+VLOOKUP($B40,'3er Trimestre'!$D$6:$M$56,3,FALSE)</f>
        <v>429.84999999999997</v>
      </c>
      <c r="E40" s="29">
        <f>+VLOOKUP($B40,'3er Trimestre'!$D$6:$M$56,4,FALSE)</f>
        <v>14766080</v>
      </c>
      <c r="F40" s="402" t="e">
        <f>[1]ene14!F37+[1]feb14!F37+[1]mar14!F37+#REF!+#REF!+#REF!+#REF!+#REF!+#REF!+#REF!</f>
        <v>#REF!</v>
      </c>
      <c r="G40" s="27">
        <f>+VLOOKUP($B40,'3er Trimestre'!$D$6:$M$56,6,FALSE)</f>
        <v>0</v>
      </c>
      <c r="H40" s="30">
        <f>+VLOOKUP($B40,'3er Trimestre'!$D$6:$M$56,7,FALSE)</f>
        <v>14766080</v>
      </c>
      <c r="I40" s="405"/>
      <c r="J40" s="31">
        <f t="shared" si="0"/>
        <v>34.351704082819587</v>
      </c>
    </row>
    <row r="41" spans="1:11" ht="15.75" thickBot="1">
      <c r="A41" s="399"/>
      <c r="B41" s="52" t="s">
        <v>14</v>
      </c>
      <c r="C41" s="27">
        <v>48</v>
      </c>
      <c r="D41" s="28">
        <f>+VLOOKUP($B41,'3er Trimestre'!$D$6:$M$56,3,FALSE)</f>
        <v>489.87</v>
      </c>
      <c r="E41" s="29">
        <f>+VLOOKUP($B41,'3er Trimestre'!$D$6:$M$56,4,FALSE)</f>
        <v>20384068</v>
      </c>
      <c r="F41" s="403">
        <f>+E41+E42</f>
        <v>39630774</v>
      </c>
      <c r="G41" s="29">
        <f>+VLOOKUP($B41,'3er Trimestre'!$D$6:$M$56,6,FALSE)</f>
        <v>135450</v>
      </c>
      <c r="H41" s="30">
        <f>+VLOOKUP($B41,'3er Trimestre'!$D$6:$M$56,7,FALSE)</f>
        <v>20248618</v>
      </c>
      <c r="I41" s="406">
        <f t="shared" ref="I41" si="6">+H41+H42</f>
        <v>39495324</v>
      </c>
      <c r="J41" s="31">
        <f t="shared" si="0"/>
        <v>41.611178475922181</v>
      </c>
    </row>
    <row r="42" spans="1:11" ht="15.75" thickBot="1">
      <c r="A42" s="399"/>
      <c r="B42" s="52" t="s">
        <v>17</v>
      </c>
      <c r="C42" s="27">
        <v>48</v>
      </c>
      <c r="D42" s="28">
        <f>+VLOOKUP($B42,'3er Trimestre'!$D$6:$M$56,3,FALSE)</f>
        <v>485.11999999999995</v>
      </c>
      <c r="E42" s="29">
        <f>+VLOOKUP($B42,'3er Trimestre'!$D$6:$M$56,4,FALSE)</f>
        <v>19246706</v>
      </c>
      <c r="F42" s="402" t="e">
        <f>[1]ene14!F39+[1]feb14!F39+[1]mar14!F39+#REF!+#REF!+#REF!+#REF!+#REF!+#REF!+#REF!</f>
        <v>#REF!</v>
      </c>
      <c r="G42" s="27">
        <f>+VLOOKUP($B42,'3er Trimestre'!$D$6:$M$56,6,FALSE)</f>
        <v>0</v>
      </c>
      <c r="H42" s="30">
        <f>+VLOOKUP($B42,'3er Trimestre'!$D$6:$M$56,7,FALSE)</f>
        <v>19246706</v>
      </c>
      <c r="I42" s="405"/>
      <c r="J42" s="31">
        <f t="shared" si="0"/>
        <v>39.67411362137203</v>
      </c>
    </row>
    <row r="43" spans="1:11" ht="15.75" thickBot="1">
      <c r="A43" s="399"/>
      <c r="B43" s="52" t="s">
        <v>51</v>
      </c>
      <c r="C43" s="27">
        <v>49</v>
      </c>
      <c r="D43" s="28">
        <f>+VLOOKUP($B43,'3er Trimestre'!$D$6:$M$56,3,FALSE)</f>
        <v>880.18000000000006</v>
      </c>
      <c r="E43" s="29">
        <f>+VLOOKUP($B43,'3er Trimestre'!$D$6:$M$56,4,FALSE)</f>
        <v>40193169</v>
      </c>
      <c r="F43" s="403">
        <f>+E43+E44</f>
        <v>54412188</v>
      </c>
      <c r="G43" s="27">
        <f>+VLOOKUP($B43,'3er Trimestre'!$D$6:$M$56,6,FALSE)</f>
        <v>0</v>
      </c>
      <c r="H43" s="30">
        <f>+VLOOKUP($B43,'3er Trimestre'!$D$6:$M$56,7,FALSE)</f>
        <v>40193169</v>
      </c>
      <c r="I43" s="406">
        <f t="shared" ref="I43" si="7">+H43+H44</f>
        <v>53847128</v>
      </c>
      <c r="J43" s="31">
        <f t="shared" si="0"/>
        <v>45.664715171896653</v>
      </c>
    </row>
    <row r="44" spans="1:11" ht="15.75" thickBot="1">
      <c r="A44" s="400"/>
      <c r="B44" s="53" t="s">
        <v>52</v>
      </c>
      <c r="C44" s="42">
        <v>49</v>
      </c>
      <c r="D44" s="28">
        <f>+VLOOKUP($B44,'3er Trimestre'!$D$6:$M$56,3,FALSE)</f>
        <v>312.02999999999997</v>
      </c>
      <c r="E44" s="29">
        <f>+VLOOKUP($B44,'3er Trimestre'!$D$6:$M$56,4,FALSE)</f>
        <v>14219019</v>
      </c>
      <c r="F44" s="402" t="e">
        <f>[1]ene14!F41+[1]feb14!F41+[1]mar14!F41+#REF!+#REF!+#REF!+#REF!+#REF!+#REF!+#REF!</f>
        <v>#REF!</v>
      </c>
      <c r="G44" s="44">
        <f>+VLOOKUP($B44,'3er Trimestre'!$D$6:$M$56,6,FALSE)</f>
        <v>565060</v>
      </c>
      <c r="H44" s="45">
        <f>+VLOOKUP($B44,'3er Trimestre'!$D$6:$M$56,7,FALSE)</f>
        <v>13653959</v>
      </c>
      <c r="I44" s="405"/>
      <c r="J44" s="46">
        <f t="shared" si="0"/>
        <v>45.569397173348719</v>
      </c>
    </row>
    <row r="45" spans="1:11" ht="15.75" thickBot="1">
      <c r="A45" s="394" t="s">
        <v>33</v>
      </c>
      <c r="B45" s="395"/>
      <c r="C45" s="47">
        <f>SUM(C37:C44)</f>
        <v>334</v>
      </c>
      <c r="D45" s="48">
        <f t="shared" ref="D45:J45" si="8">SUM(D37:D44)</f>
        <v>5396.17</v>
      </c>
      <c r="E45" s="49">
        <f t="shared" si="8"/>
        <v>184904851</v>
      </c>
      <c r="F45" s="50">
        <f>+F37+F39+F41+F43</f>
        <v>184904851</v>
      </c>
      <c r="G45" s="38">
        <f t="shared" si="8"/>
        <v>1298423</v>
      </c>
      <c r="H45" s="54">
        <f t="shared" si="8"/>
        <v>183606428</v>
      </c>
      <c r="I45" s="50">
        <f t="shared" si="8"/>
        <v>183606428</v>
      </c>
      <c r="J45" s="51">
        <f t="shared" si="8"/>
        <v>292.26836499006089</v>
      </c>
      <c r="K45" s="69"/>
    </row>
    <row r="46" spans="1:11" ht="15.75" thickBot="1">
      <c r="A46" s="396" t="s">
        <v>89</v>
      </c>
      <c r="B46" s="397"/>
      <c r="C46" s="55">
        <f>+C18+C36+C45</f>
        <v>613.80999999999995</v>
      </c>
      <c r="D46" s="56" t="e">
        <f>+D18+D36+D45</f>
        <v>#N/A</v>
      </c>
      <c r="E46" s="57" t="e">
        <f>+E18+E36+E45</f>
        <v>#N/A</v>
      </c>
      <c r="F46" s="57" t="e">
        <f t="shared" ref="F46:J46" si="9">+F18+F36+F45</f>
        <v>#N/A</v>
      </c>
      <c r="G46" s="57" t="e">
        <f t="shared" si="9"/>
        <v>#N/A</v>
      </c>
      <c r="H46" s="57" t="e">
        <f t="shared" si="9"/>
        <v>#N/A</v>
      </c>
      <c r="I46" s="57" t="e">
        <f t="shared" si="9"/>
        <v>#N/A</v>
      </c>
      <c r="J46" s="58">
        <f t="shared" si="9"/>
        <v>480.69745410969529</v>
      </c>
    </row>
    <row r="47" spans="1:11">
      <c r="D47" s="13" t="e">
        <f>+D46-'3er Trimestre'!F57</f>
        <v>#N/A</v>
      </c>
      <c r="E47" s="13" t="e">
        <f>+E46-'3er Trimestre'!G57</f>
        <v>#N/A</v>
      </c>
      <c r="F47" s="13" t="e">
        <f>+F46-'3er Trimestre'!H57</f>
        <v>#N/A</v>
      </c>
      <c r="G47" s="13" t="e">
        <f>+G46-'3er Trimestre'!I57</f>
        <v>#N/A</v>
      </c>
      <c r="H47" s="13" t="e">
        <f>+H46-'3er Trimestre'!J57</f>
        <v>#N/A</v>
      </c>
      <c r="I47" s="13" t="e">
        <f>+I46-'3er Trimestre'!K57</f>
        <v>#N/A</v>
      </c>
      <c r="J47" s="13">
        <f>+J46-'3er Trimestre'!L57</f>
        <v>-11.871747115859648</v>
      </c>
    </row>
    <row r="48" spans="1:11" ht="30.75" customHeight="1">
      <c r="B48" s="11" t="s">
        <v>86</v>
      </c>
      <c r="C48" s="11" t="s">
        <v>87</v>
      </c>
      <c r="D48" s="11" t="s">
        <v>88</v>
      </c>
      <c r="E48" s="11" t="s">
        <v>107</v>
      </c>
    </row>
    <row r="49" spans="2:8">
      <c r="B49" t="s">
        <v>73</v>
      </c>
      <c r="C49" s="12">
        <f>24*D49</f>
        <v>744</v>
      </c>
      <c r="D49" s="12">
        <v>31</v>
      </c>
      <c r="E49" s="13">
        <f>+Ene!M10</f>
        <v>14674.509999999998</v>
      </c>
      <c r="F49" s="13"/>
      <c r="G49" s="18" t="s">
        <v>90</v>
      </c>
      <c r="H49" s="19">
        <f>SUM(E2:E17)</f>
        <v>13120752</v>
      </c>
    </row>
    <row r="50" spans="2:8">
      <c r="B50" t="s">
        <v>74</v>
      </c>
      <c r="C50" s="12">
        <f t="shared" ref="C50:C60" si="10">24*D50</f>
        <v>672</v>
      </c>
      <c r="D50" s="12">
        <v>28</v>
      </c>
      <c r="E50" s="13">
        <f>+Feb!M10</f>
        <v>12272.36</v>
      </c>
      <c r="G50" s="18" t="s">
        <v>91</v>
      </c>
      <c r="H50" s="19">
        <f>+E19+E20</f>
        <v>9321000</v>
      </c>
    </row>
    <row r="51" spans="2:8">
      <c r="B51" t="s">
        <v>75</v>
      </c>
      <c r="C51" s="12">
        <f t="shared" si="10"/>
        <v>744</v>
      </c>
      <c r="D51" s="12">
        <v>31</v>
      </c>
      <c r="E51" s="13">
        <f>+Mar!M10</f>
        <v>14600.45</v>
      </c>
      <c r="G51" s="18" t="s">
        <v>60</v>
      </c>
      <c r="H51" s="19">
        <f>+E21</f>
        <v>10428200</v>
      </c>
    </row>
    <row r="52" spans="2:8">
      <c r="B52" t="s">
        <v>76</v>
      </c>
      <c r="C52" s="12">
        <f t="shared" si="10"/>
        <v>720</v>
      </c>
      <c r="D52" s="12">
        <v>30</v>
      </c>
      <c r="E52" s="13"/>
      <c r="G52" s="18" t="s">
        <v>61</v>
      </c>
      <c r="H52" s="19">
        <f>+E22</f>
        <v>2568772</v>
      </c>
    </row>
    <row r="53" spans="2:8">
      <c r="B53" t="s">
        <v>77</v>
      </c>
      <c r="C53" s="12">
        <f t="shared" si="10"/>
        <v>744</v>
      </c>
      <c r="D53" s="12">
        <v>31</v>
      </c>
      <c r="E53" s="13"/>
      <c r="G53" s="18" t="s">
        <v>36</v>
      </c>
      <c r="H53" s="19" t="e">
        <f>+E23</f>
        <v>#N/A</v>
      </c>
    </row>
    <row r="54" spans="2:8">
      <c r="B54" t="s">
        <v>78</v>
      </c>
      <c r="C54" s="12">
        <f t="shared" si="10"/>
        <v>720</v>
      </c>
      <c r="D54" s="12">
        <v>30</v>
      </c>
      <c r="E54" s="13"/>
      <c r="G54" s="18" t="s">
        <v>37</v>
      </c>
      <c r="H54" s="19">
        <f>+E24</f>
        <v>0</v>
      </c>
    </row>
    <row r="55" spans="2:8">
      <c r="B55" t="s">
        <v>79</v>
      </c>
      <c r="C55" s="12">
        <f t="shared" si="10"/>
        <v>744</v>
      </c>
      <c r="D55" s="12">
        <v>31</v>
      </c>
      <c r="E55" s="13"/>
      <c r="G55" s="18" t="s">
        <v>35</v>
      </c>
      <c r="H55" s="19">
        <f>+E25</f>
        <v>5710000</v>
      </c>
    </row>
    <row r="56" spans="2:8">
      <c r="B56" t="s">
        <v>80</v>
      </c>
      <c r="C56" s="12">
        <f t="shared" si="10"/>
        <v>744</v>
      </c>
      <c r="D56" s="12">
        <v>31</v>
      </c>
      <c r="E56" s="13"/>
      <c r="G56" s="18" t="s">
        <v>92</v>
      </c>
      <c r="H56" s="19">
        <f>+E26+E27</f>
        <v>37418000</v>
      </c>
    </row>
    <row r="57" spans="2:8">
      <c r="B57" t="s">
        <v>81</v>
      </c>
      <c r="C57" s="12">
        <f t="shared" si="10"/>
        <v>720</v>
      </c>
      <c r="D57" s="12">
        <v>30</v>
      </c>
      <c r="E57" s="13"/>
      <c r="G57" s="18" t="s">
        <v>59</v>
      </c>
      <c r="H57" s="19">
        <f>+E28</f>
        <v>16989296</v>
      </c>
    </row>
    <row r="58" spans="2:8">
      <c r="B58" t="s">
        <v>82</v>
      </c>
      <c r="C58" s="12">
        <f t="shared" si="10"/>
        <v>744</v>
      </c>
      <c r="D58" s="12">
        <v>31</v>
      </c>
      <c r="E58" s="13"/>
      <c r="G58" s="18" t="s">
        <v>19</v>
      </c>
      <c r="H58" s="19">
        <f>+E29</f>
        <v>15287300</v>
      </c>
    </row>
    <row r="59" spans="2:8">
      <c r="B59" t="s">
        <v>83</v>
      </c>
      <c r="C59" s="12">
        <f t="shared" si="10"/>
        <v>720</v>
      </c>
      <c r="D59" s="12">
        <v>30</v>
      </c>
      <c r="E59" s="13"/>
      <c r="G59" s="18" t="s">
        <v>93</v>
      </c>
      <c r="H59" s="19">
        <f>+E30+E31</f>
        <v>29440700</v>
      </c>
    </row>
    <row r="60" spans="2:8">
      <c r="B60" t="s">
        <v>84</v>
      </c>
      <c r="C60" s="12">
        <f t="shared" si="10"/>
        <v>744</v>
      </c>
      <c r="D60" s="12">
        <v>31</v>
      </c>
      <c r="E60" s="13"/>
      <c r="G60" s="18" t="s">
        <v>94</v>
      </c>
      <c r="H60" s="19">
        <f>+E32+E33</f>
        <v>29802332</v>
      </c>
    </row>
    <row r="61" spans="2:8">
      <c r="B61" s="14" t="s">
        <v>89</v>
      </c>
      <c r="C61" s="15">
        <f>SUM(C49:C60)</f>
        <v>8760</v>
      </c>
      <c r="D61" s="16">
        <f>SUM(D49:D60)</f>
        <v>365</v>
      </c>
      <c r="E61" s="17">
        <f>SUM(E49:E60)</f>
        <v>41547.32</v>
      </c>
      <c r="G61" s="18" t="s">
        <v>95</v>
      </c>
      <c r="H61" s="19">
        <f>+E34+E35</f>
        <v>22313885</v>
      </c>
    </row>
    <row r="62" spans="2:8">
      <c r="G62" s="18" t="s">
        <v>96</v>
      </c>
      <c r="H62" s="19">
        <f>+E37+E38</f>
        <v>61492097</v>
      </c>
    </row>
    <row r="63" spans="2:8">
      <c r="B63" s="13">
        <f>COUNTIF(D2:D44,"&gt;1000")-2</f>
        <v>18</v>
      </c>
      <c r="C63" s="13">
        <f>COUNTIF(D2:D44,"&gt;500")-2</f>
        <v>27</v>
      </c>
      <c r="D63">
        <f>COUNTIF(D2:D44,"&gt;5000")</f>
        <v>1</v>
      </c>
      <c r="E63">
        <f>COUNTIF(D2:D44,"&gt;4000")</f>
        <v>1</v>
      </c>
      <c r="G63" s="18" t="s">
        <v>97</v>
      </c>
      <c r="H63" s="19">
        <f>+E39+E40</f>
        <v>29369792</v>
      </c>
    </row>
    <row r="64" spans="2:8">
      <c r="B64" s="207">
        <v>1000</v>
      </c>
      <c r="C64" s="207">
        <v>500</v>
      </c>
      <c r="G64" s="18" t="s">
        <v>98</v>
      </c>
      <c r="H64" s="19">
        <f>+E41+E42</f>
        <v>39630774</v>
      </c>
    </row>
    <row r="65" spans="2:8">
      <c r="E65" s="70"/>
      <c r="G65" s="18" t="s">
        <v>99</v>
      </c>
      <c r="H65" s="19">
        <f>+E43+E44</f>
        <v>54412188</v>
      </c>
    </row>
    <row r="66" spans="2:8">
      <c r="E66" s="13"/>
      <c r="G66" s="18"/>
      <c r="H66" s="19" t="e">
        <f>SUM(H49:H65)</f>
        <v>#N/A</v>
      </c>
    </row>
    <row r="67" spans="2:8">
      <c r="E67" s="13"/>
      <c r="G67" s="18"/>
      <c r="H67" s="19"/>
    </row>
    <row r="68" spans="2:8">
      <c r="B68" t="s">
        <v>2</v>
      </c>
      <c r="C68" t="s">
        <v>174</v>
      </c>
    </row>
    <row r="69" spans="2:8">
      <c r="B69" t="s">
        <v>37</v>
      </c>
      <c r="C69" s="13">
        <f t="shared" ref="C69:C109" si="11">+VLOOKUP(B69,$B$2:$J$44,3,FALSE)</f>
        <v>0</v>
      </c>
    </row>
    <row r="70" spans="2:8">
      <c r="B70" t="s">
        <v>59</v>
      </c>
      <c r="C70" s="13">
        <f t="shared" si="11"/>
        <v>1890.03</v>
      </c>
    </row>
    <row r="71" spans="2:8">
      <c r="B71" t="s">
        <v>36</v>
      </c>
      <c r="C71" s="13" t="e">
        <f t="shared" si="11"/>
        <v>#N/A</v>
      </c>
    </row>
    <row r="72" spans="2:8">
      <c r="B72" t="s">
        <v>61</v>
      </c>
      <c r="C72" s="13">
        <f t="shared" si="11"/>
        <v>1853.24</v>
      </c>
    </row>
    <row r="73" spans="2:8">
      <c r="B73" t="s">
        <v>19</v>
      </c>
      <c r="C73" s="13">
        <f t="shared" si="11"/>
        <v>2193.29</v>
      </c>
    </row>
    <row r="74" spans="2:8">
      <c r="B74" t="s">
        <v>63</v>
      </c>
      <c r="C74" s="13">
        <f t="shared" si="11"/>
        <v>1695.76</v>
      </c>
    </row>
    <row r="75" spans="2:8">
      <c r="B75" t="s">
        <v>60</v>
      </c>
      <c r="C75" s="13">
        <f t="shared" si="11"/>
        <v>2134.56</v>
      </c>
    </row>
    <row r="76" spans="2:8">
      <c r="B76" t="s">
        <v>39</v>
      </c>
      <c r="C76" s="13">
        <f t="shared" si="11"/>
        <v>1520.9599999999998</v>
      </c>
    </row>
    <row r="77" spans="2:8">
      <c r="B77" t="s">
        <v>24</v>
      </c>
      <c r="C77" s="13">
        <f t="shared" si="11"/>
        <v>2023.17</v>
      </c>
    </row>
    <row r="78" spans="2:8">
      <c r="B78" t="s">
        <v>65</v>
      </c>
      <c r="C78" s="13">
        <f t="shared" si="11"/>
        <v>2055.4299999999998</v>
      </c>
    </row>
    <row r="79" spans="2:8">
      <c r="B79" t="s">
        <v>64</v>
      </c>
      <c r="C79" s="13">
        <f t="shared" si="11"/>
        <v>2027.6999999999998</v>
      </c>
    </row>
    <row r="80" spans="2:8">
      <c r="B80" t="s">
        <v>42</v>
      </c>
      <c r="C80" s="13">
        <f t="shared" si="11"/>
        <v>1412.4899999999998</v>
      </c>
    </row>
    <row r="81" spans="2:3">
      <c r="B81" t="s">
        <v>38</v>
      </c>
      <c r="C81" s="13">
        <f t="shared" si="11"/>
        <v>1608.1200000000001</v>
      </c>
    </row>
    <row r="82" spans="2:3">
      <c r="B82" t="s">
        <v>26</v>
      </c>
      <c r="C82" s="13">
        <f t="shared" si="11"/>
        <v>1442.91</v>
      </c>
    </row>
    <row r="83" spans="2:3">
      <c r="B83" t="s">
        <v>43</v>
      </c>
      <c r="C83" s="13">
        <f t="shared" si="11"/>
        <v>1211.24</v>
      </c>
    </row>
    <row r="84" spans="2:3">
      <c r="B84" t="s">
        <v>40</v>
      </c>
      <c r="C84" s="13">
        <f t="shared" si="11"/>
        <v>870.83999999999992</v>
      </c>
    </row>
    <row r="85" spans="2:3">
      <c r="B85" t="s">
        <v>54</v>
      </c>
      <c r="C85" s="13">
        <f t="shared" si="11"/>
        <v>1244.3700000000001</v>
      </c>
    </row>
    <row r="86" spans="2:3">
      <c r="B86" t="s">
        <v>32</v>
      </c>
      <c r="C86" s="13">
        <f t="shared" si="11"/>
        <v>1457.14</v>
      </c>
    </row>
    <row r="87" spans="2:3">
      <c r="B87" t="s">
        <v>53</v>
      </c>
      <c r="C87" s="13">
        <f t="shared" si="11"/>
        <v>1117.17</v>
      </c>
    </row>
    <row r="88" spans="2:3">
      <c r="B88" t="s">
        <v>21</v>
      </c>
      <c r="C88" s="13">
        <f t="shared" si="11"/>
        <v>727.1</v>
      </c>
    </row>
    <row r="89" spans="2:3">
      <c r="B89" t="s">
        <v>35</v>
      </c>
      <c r="C89" s="13">
        <f t="shared" si="11"/>
        <v>793.78</v>
      </c>
    </row>
    <row r="90" spans="2:3">
      <c r="B90" t="s">
        <v>14</v>
      </c>
      <c r="C90" s="13">
        <f t="shared" si="11"/>
        <v>489.87</v>
      </c>
    </row>
    <row r="91" spans="2:3">
      <c r="B91" t="s">
        <v>22</v>
      </c>
      <c r="C91" s="13">
        <f t="shared" si="11"/>
        <v>756.23</v>
      </c>
    </row>
    <row r="92" spans="2:3">
      <c r="B92" t="s">
        <v>44</v>
      </c>
      <c r="C92" s="13">
        <f t="shared" si="11"/>
        <v>1147.53</v>
      </c>
    </row>
    <row r="93" spans="2:3">
      <c r="B93" t="s">
        <v>52</v>
      </c>
      <c r="C93" s="13">
        <f t="shared" si="11"/>
        <v>312.02999999999997</v>
      </c>
    </row>
    <row r="94" spans="2:3">
      <c r="B94" t="s">
        <v>45</v>
      </c>
      <c r="C94" s="13">
        <f t="shared" si="11"/>
        <v>464.65</v>
      </c>
    </row>
    <row r="95" spans="2:3">
      <c r="B95" t="s">
        <v>17</v>
      </c>
      <c r="C95" s="13">
        <f t="shared" si="11"/>
        <v>485.11999999999995</v>
      </c>
    </row>
    <row r="96" spans="2:3">
      <c r="B96" t="s">
        <v>30</v>
      </c>
      <c r="C96" s="13">
        <f t="shared" si="11"/>
        <v>725.41</v>
      </c>
    </row>
    <row r="97" spans="2:3">
      <c r="B97" t="s">
        <v>51</v>
      </c>
      <c r="C97" s="13">
        <f t="shared" si="11"/>
        <v>880.18000000000006</v>
      </c>
    </row>
    <row r="98" spans="2:3">
      <c r="B98" t="s">
        <v>28</v>
      </c>
      <c r="C98" s="13">
        <f t="shared" si="11"/>
        <v>25.95</v>
      </c>
    </row>
    <row r="99" spans="2:3">
      <c r="B99" t="s">
        <v>67</v>
      </c>
      <c r="C99" s="13">
        <f t="shared" si="11"/>
        <v>517.78</v>
      </c>
    </row>
    <row r="100" spans="2:3">
      <c r="B100" t="s">
        <v>103</v>
      </c>
      <c r="C100" s="13">
        <f t="shared" si="11"/>
        <v>437.58000000000004</v>
      </c>
    </row>
    <row r="101" spans="2:3">
      <c r="B101" t="s">
        <v>66</v>
      </c>
      <c r="C101" s="13">
        <f t="shared" si="11"/>
        <v>415.72999999999996</v>
      </c>
    </row>
    <row r="102" spans="2:3">
      <c r="B102" t="s">
        <v>104</v>
      </c>
      <c r="C102" s="13">
        <f t="shared" si="11"/>
        <v>429.84999999999997</v>
      </c>
    </row>
    <row r="103" spans="2:3">
      <c r="B103" t="s">
        <v>50</v>
      </c>
      <c r="C103" s="13">
        <f t="shared" si="11"/>
        <v>373.15999999999997</v>
      </c>
    </row>
    <row r="104" spans="2:3">
      <c r="B104" t="s">
        <v>49</v>
      </c>
      <c r="C104" s="13">
        <f t="shared" si="11"/>
        <v>677.63000000000011</v>
      </c>
    </row>
    <row r="105" spans="2:3">
      <c r="B105" t="s">
        <v>41</v>
      </c>
      <c r="C105" s="13">
        <f t="shared" si="11"/>
        <v>660.87999999999988</v>
      </c>
    </row>
    <row r="106" spans="2:3">
      <c r="B106" t="s">
        <v>62</v>
      </c>
      <c r="C106" s="13">
        <f t="shared" si="11"/>
        <v>1694.17</v>
      </c>
    </row>
    <row r="107" spans="2:3">
      <c r="B107" t="s">
        <v>57</v>
      </c>
      <c r="C107" s="13">
        <f t="shared" si="11"/>
        <v>1837.04</v>
      </c>
    </row>
    <row r="108" spans="2:3">
      <c r="B108" t="s">
        <v>55</v>
      </c>
      <c r="C108" s="13">
        <f t="shared" si="11"/>
        <v>0</v>
      </c>
    </row>
    <row r="109" spans="2:3">
      <c r="B109" t="s">
        <v>56</v>
      </c>
      <c r="C109" s="13">
        <f t="shared" si="11"/>
        <v>0</v>
      </c>
    </row>
  </sheetData>
  <mergeCells count="35">
    <mergeCell ref="I32:I33"/>
    <mergeCell ref="F34:F35"/>
    <mergeCell ref="I34:I35"/>
    <mergeCell ref="I11:I12"/>
    <mergeCell ref="F13:F14"/>
    <mergeCell ref="I13:I14"/>
    <mergeCell ref="F15:F16"/>
    <mergeCell ref="I15:I16"/>
    <mergeCell ref="I43:I44"/>
    <mergeCell ref="A2:A16"/>
    <mergeCell ref="F4:F5"/>
    <mergeCell ref="I4:I5"/>
    <mergeCell ref="F6:F7"/>
    <mergeCell ref="I6:I7"/>
    <mergeCell ref="F11:F12"/>
    <mergeCell ref="A18:B18"/>
    <mergeCell ref="A19:A35"/>
    <mergeCell ref="F19:F20"/>
    <mergeCell ref="I19:I20"/>
    <mergeCell ref="F26:F27"/>
    <mergeCell ref="I26:I27"/>
    <mergeCell ref="F30:F31"/>
    <mergeCell ref="I30:I31"/>
    <mergeCell ref="F32:F33"/>
    <mergeCell ref="I37:I38"/>
    <mergeCell ref="F39:F40"/>
    <mergeCell ref="I39:I40"/>
    <mergeCell ref="F41:F42"/>
    <mergeCell ref="I41:I42"/>
    <mergeCell ref="A45:B45"/>
    <mergeCell ref="A46:B46"/>
    <mergeCell ref="A36:B36"/>
    <mergeCell ref="A37:A44"/>
    <mergeCell ref="F37:F38"/>
    <mergeCell ref="F43:F44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9"/>
  <sheetViews>
    <sheetView zoomScale="85" zoomScaleNormal="85" zoomScaleSheetLayoutView="30" workbookViewId="0">
      <selection activeCell="D2" sqref="D2"/>
    </sheetView>
  </sheetViews>
  <sheetFormatPr baseColWidth="10" defaultColWidth="9" defaultRowHeight="15"/>
  <cols>
    <col min="1" max="1" width="16.42578125" customWidth="1"/>
    <col min="2" max="2" width="17.140625" bestFit="1" customWidth="1"/>
    <col min="3" max="3" width="15" customWidth="1"/>
    <col min="4" max="4" width="10.7109375" customWidth="1"/>
    <col min="5" max="5" width="16.28515625" customWidth="1"/>
    <col min="6" max="6" width="17" bestFit="1" customWidth="1"/>
    <col min="7" max="7" width="17.140625" customWidth="1"/>
    <col min="8" max="9" width="16.28515625" bestFit="1" customWidth="1"/>
    <col min="10" max="10" width="11.7109375" bestFit="1" customWidth="1"/>
    <col min="12" max="12" width="11.42578125" customWidth="1"/>
    <col min="13" max="13" width="12.7109375" bestFit="1" customWidth="1"/>
    <col min="14" max="14" width="9.85546875" customWidth="1"/>
    <col min="18" max="18" width="10.28515625" bestFit="1" customWidth="1"/>
  </cols>
  <sheetData>
    <row r="1" spans="1:14" ht="27.75" thickBot="1">
      <c r="A1" s="20"/>
      <c r="B1" s="21" t="s">
        <v>2</v>
      </c>
      <c r="C1" s="22" t="s">
        <v>3</v>
      </c>
      <c r="D1" s="23" t="s">
        <v>4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5" t="s">
        <v>10</v>
      </c>
      <c r="L1" s="59" t="s">
        <v>72</v>
      </c>
      <c r="M1" s="59" t="s">
        <v>105</v>
      </c>
      <c r="N1" s="59" t="s">
        <v>106</v>
      </c>
    </row>
    <row r="2" spans="1:14" ht="15" customHeight="1" thickBot="1">
      <c r="A2" s="407" t="s">
        <v>100</v>
      </c>
      <c r="B2" s="26" t="s">
        <v>56</v>
      </c>
      <c r="C2" s="27">
        <v>0.11</v>
      </c>
      <c r="D2" s="28" t="e">
        <f>+VLOOKUP($B2,#REF!,3,FALSE)</f>
        <v>#REF!</v>
      </c>
      <c r="E2" s="29" t="e">
        <f>+VLOOKUP($B2,#REF!,4,FALSE)</f>
        <v>#REF!</v>
      </c>
      <c r="F2" s="30" t="e">
        <f>E2</f>
        <v>#REF!</v>
      </c>
      <c r="G2" s="29" t="e">
        <f>+VLOOKUP($B2,#REF!,6,FALSE)</f>
        <v>#REF!</v>
      </c>
      <c r="H2" s="30" t="e">
        <f>+VLOOKUP($B2,#REF!,7,FALSE)</f>
        <v>#REF!</v>
      </c>
      <c r="I2" s="29" t="e">
        <f>+H2</f>
        <v>#REF!</v>
      </c>
      <c r="J2" s="31">
        <f>IFERROR((E2/1000)/D2,0)</f>
        <v>0</v>
      </c>
      <c r="L2" s="60" t="s">
        <v>73</v>
      </c>
      <c r="M2" s="61" t="e">
        <f>+#REF!</f>
        <v>#REF!</v>
      </c>
      <c r="N2" s="62" t="e">
        <f>+#REF!</f>
        <v>#REF!</v>
      </c>
    </row>
    <row r="3" spans="1:14" ht="15.75" thickBot="1">
      <c r="A3" s="408"/>
      <c r="B3" s="26" t="s">
        <v>55</v>
      </c>
      <c r="C3" s="27">
        <v>0.33</v>
      </c>
      <c r="D3" s="28" t="e">
        <f>+VLOOKUP($B3,#REF!,3,FALSE)</f>
        <v>#REF!</v>
      </c>
      <c r="E3" s="29" t="e">
        <f>+VLOOKUP($B3,#REF!,4,FALSE)</f>
        <v>#REF!</v>
      </c>
      <c r="F3" s="30" t="e">
        <f>+E3</f>
        <v>#REF!</v>
      </c>
      <c r="G3" s="29" t="e">
        <f>+VLOOKUP($B3,#REF!,6,FALSE)</f>
        <v>#REF!</v>
      </c>
      <c r="H3" s="30" t="e">
        <f>+VLOOKUP($B3,#REF!,7,FALSE)</f>
        <v>#REF!</v>
      </c>
      <c r="I3" s="29" t="e">
        <f>+H3</f>
        <v>#REF!</v>
      </c>
      <c r="J3" s="31">
        <f t="shared" ref="J3:J44" si="0">IFERROR((E3/1000)/D3,0)</f>
        <v>0</v>
      </c>
      <c r="L3" s="63" t="s">
        <v>74</v>
      </c>
      <c r="M3" s="64" t="e">
        <f>+#REF!</f>
        <v>#REF!</v>
      </c>
      <c r="N3" s="65" t="e">
        <f>+#REF!</f>
        <v>#REF!</v>
      </c>
    </row>
    <row r="4" spans="1:14" ht="15.75" thickBot="1">
      <c r="A4" s="408"/>
      <c r="B4" s="26" t="s">
        <v>41</v>
      </c>
      <c r="C4" s="27">
        <v>0.35</v>
      </c>
      <c r="D4" s="32" t="e">
        <f>+VLOOKUP($B4,#REF!,3,FALSE)</f>
        <v>#REF!</v>
      </c>
      <c r="E4" s="29" t="e">
        <f>+VLOOKUP($B4,#REF!,4,FALSE)</f>
        <v>#REF!</v>
      </c>
      <c r="F4" s="403" t="e">
        <f>+E4+E5</f>
        <v>#REF!</v>
      </c>
      <c r="G4" s="29" t="e">
        <f>+VLOOKUP($B4,#REF!,6,FALSE)</f>
        <v>#REF!</v>
      </c>
      <c r="H4" s="30" t="e">
        <f>+VLOOKUP($B4,#REF!,7,FALSE)</f>
        <v>#REF!</v>
      </c>
      <c r="I4" s="406" t="e">
        <f>+H4+H5</f>
        <v>#REF!</v>
      </c>
      <c r="J4" s="31">
        <f t="shared" si="0"/>
        <v>0</v>
      </c>
      <c r="L4" s="60" t="s">
        <v>75</v>
      </c>
      <c r="M4" s="61" t="e">
        <f>+#REF!</f>
        <v>#REF!</v>
      </c>
      <c r="N4" s="62" t="e">
        <f>+#REF!</f>
        <v>#REF!</v>
      </c>
    </row>
    <row r="5" spans="1:14" ht="15.75" thickBot="1">
      <c r="A5" s="408"/>
      <c r="B5" s="26" t="s">
        <v>42</v>
      </c>
      <c r="C5" s="27">
        <v>0.35</v>
      </c>
      <c r="D5" s="32" t="e">
        <f>+VLOOKUP($B5,#REF!,3,FALSE)</f>
        <v>#REF!</v>
      </c>
      <c r="E5" s="29" t="e">
        <f>+VLOOKUP($B5,#REF!,4,FALSE)</f>
        <v>#REF!</v>
      </c>
      <c r="F5" s="402" t="e">
        <f>[1]ene14!F5+[1]feb14!F5+[1]mar14!F5+#REF!+#REF!+#REF!+#REF!+#REF!+#REF!+#REF!+#REF!+#REF!</f>
        <v>#REF!</v>
      </c>
      <c r="G5" s="29" t="e">
        <f>+VLOOKUP($B5,#REF!,6,FALSE)</f>
        <v>#REF!</v>
      </c>
      <c r="H5" s="30" t="e">
        <f>+VLOOKUP($B5,#REF!,7,FALSE)</f>
        <v>#REF!</v>
      </c>
      <c r="I5" s="405" t="e">
        <f>[1]ene14!I5+[1]feb14!I5+[1]mar14!I5+#REF!+#REF!+#REF!+#REF!+#REF!+#REF!+#REF!</f>
        <v>#REF!</v>
      </c>
      <c r="J5" s="31">
        <f t="shared" si="0"/>
        <v>0</v>
      </c>
      <c r="L5" s="63" t="s">
        <v>76</v>
      </c>
      <c r="M5" s="64" t="e">
        <f>+#REF!</f>
        <v>#REF!</v>
      </c>
      <c r="N5" s="65" t="e">
        <f>+#REF!</f>
        <v>#REF!</v>
      </c>
    </row>
    <row r="6" spans="1:14" ht="15.75" thickBot="1">
      <c r="A6" s="408"/>
      <c r="B6" s="26" t="s">
        <v>28</v>
      </c>
      <c r="C6" s="27">
        <v>0.6</v>
      </c>
      <c r="D6" s="28" t="e">
        <f>+VLOOKUP($B6,#REF!,3,FALSE)</f>
        <v>#REF!</v>
      </c>
      <c r="E6" s="29" t="e">
        <f>+VLOOKUP($B6,#REF!,4,FALSE)</f>
        <v>#REF!</v>
      </c>
      <c r="F6" s="403" t="e">
        <f>+E6+E7</f>
        <v>#REF!</v>
      </c>
      <c r="G6" s="29" t="e">
        <f>+VLOOKUP($B6,#REF!,6,FALSE)</f>
        <v>#REF!</v>
      </c>
      <c r="H6" s="30" t="e">
        <f>+VLOOKUP($B6,#REF!,7,FALSE)</f>
        <v>#REF!</v>
      </c>
      <c r="I6" s="406" t="e">
        <f>+H6+H7</f>
        <v>#REF!</v>
      </c>
      <c r="J6" s="31">
        <f t="shared" si="0"/>
        <v>0</v>
      </c>
      <c r="L6" s="60" t="s">
        <v>77</v>
      </c>
      <c r="M6" s="61" t="e">
        <f>+#REF!</f>
        <v>#REF!</v>
      </c>
      <c r="N6" s="62" t="e">
        <f>+#REF!</f>
        <v>#REF!</v>
      </c>
    </row>
    <row r="7" spans="1:14" ht="15.75" thickBot="1">
      <c r="A7" s="408"/>
      <c r="B7" s="26" t="s">
        <v>30</v>
      </c>
      <c r="C7" s="27">
        <v>0.6</v>
      </c>
      <c r="D7" s="28" t="e">
        <f>+VLOOKUP($B7,#REF!,3,FALSE)</f>
        <v>#REF!</v>
      </c>
      <c r="E7" s="29" t="e">
        <f>+VLOOKUP($B7,#REF!,4,FALSE)</f>
        <v>#REF!</v>
      </c>
      <c r="F7" s="402" t="e">
        <f>[1]ene14!F7+[1]feb14!F7+[1]mar14!F7+#REF!+#REF!+#REF!+#REF!+#REF!+#REF!+#REF!</f>
        <v>#REF!</v>
      </c>
      <c r="G7" s="27" t="e">
        <f>+VLOOKUP($B7,#REF!,6,FALSE)</f>
        <v>#REF!</v>
      </c>
      <c r="H7" s="30" t="e">
        <f>+VLOOKUP($B7,#REF!,7,FALSE)</f>
        <v>#REF!</v>
      </c>
      <c r="I7" s="405" t="e">
        <f>[1]ene14!I7+[1]feb14!I7+[1]mar14!I7+#REF!+#REF!+#REF!+#REF!+#REF!+#REF!+#REF!</f>
        <v>#REF!</v>
      </c>
      <c r="J7" s="31">
        <f t="shared" si="0"/>
        <v>0</v>
      </c>
      <c r="L7" s="63" t="s">
        <v>78</v>
      </c>
      <c r="M7" s="64" t="e">
        <f>+#REF!</f>
        <v>#REF!</v>
      </c>
      <c r="N7" s="65" t="e">
        <f>+#REF!</f>
        <v>#REF!</v>
      </c>
    </row>
    <row r="8" spans="1:14" ht="15.75" thickBot="1">
      <c r="A8" s="408"/>
      <c r="B8" s="26" t="s">
        <v>40</v>
      </c>
      <c r="C8" s="27">
        <v>0.62</v>
      </c>
      <c r="D8" s="28" t="e">
        <f>+VLOOKUP($B8,#REF!,3,FALSE)</f>
        <v>#REF!</v>
      </c>
      <c r="E8" s="29" t="e">
        <f>+VLOOKUP($B8,#REF!,4,FALSE)</f>
        <v>#REF!</v>
      </c>
      <c r="F8" s="30" t="e">
        <f>+E8</f>
        <v>#REF!</v>
      </c>
      <c r="G8" s="29" t="e">
        <f>+VLOOKUP($B8,#REF!,6,FALSE)</f>
        <v>#REF!</v>
      </c>
      <c r="H8" s="30" t="e">
        <f>+VLOOKUP($B8,#REF!,7,FALSE)</f>
        <v>#REF!</v>
      </c>
      <c r="I8" s="29" t="e">
        <f>+H8</f>
        <v>#REF!</v>
      </c>
      <c r="J8" s="31">
        <f t="shared" si="0"/>
        <v>0</v>
      </c>
      <c r="L8" s="60" t="s">
        <v>79</v>
      </c>
      <c r="M8" s="61" t="e">
        <f>+#REF!</f>
        <v>#REF!</v>
      </c>
      <c r="N8" s="62" t="e">
        <f>+#REF!</f>
        <v>#REF!</v>
      </c>
    </row>
    <row r="9" spans="1:14" ht="15.75" thickBot="1">
      <c r="A9" s="408"/>
      <c r="B9" s="26" t="s">
        <v>57</v>
      </c>
      <c r="C9" s="27">
        <v>0.85</v>
      </c>
      <c r="D9" s="28" t="e">
        <f>+VLOOKUP($B9,#REF!,3,FALSE)</f>
        <v>#REF!</v>
      </c>
      <c r="E9" s="29" t="e">
        <f>+VLOOKUP($B9,#REF!,4,FALSE)</f>
        <v>#REF!</v>
      </c>
      <c r="F9" s="30" t="e">
        <f>E9</f>
        <v>#REF!</v>
      </c>
      <c r="G9" s="29" t="e">
        <f>+VLOOKUP($B9,#REF!,6,FALSE)</f>
        <v>#REF!</v>
      </c>
      <c r="H9" s="30" t="e">
        <f>+VLOOKUP($B9,#REF!,7,FALSE)</f>
        <v>#REF!</v>
      </c>
      <c r="I9" s="29" t="e">
        <f>+H9</f>
        <v>#REF!</v>
      </c>
      <c r="J9" s="31">
        <f t="shared" si="0"/>
        <v>0</v>
      </c>
      <c r="L9" s="63" t="s">
        <v>80</v>
      </c>
      <c r="M9" s="64" t="e">
        <f>+#REF!</f>
        <v>#REF!</v>
      </c>
      <c r="N9" s="65" t="e">
        <f>+#REF!</f>
        <v>#REF!</v>
      </c>
    </row>
    <row r="10" spans="1:14" ht="15.75" thickBot="1">
      <c r="A10" s="408"/>
      <c r="B10" s="26" t="s">
        <v>43</v>
      </c>
      <c r="C10" s="27">
        <v>0.9</v>
      </c>
      <c r="D10" s="28" t="e">
        <f>+VLOOKUP($B10,#REF!,3,FALSE)</f>
        <v>#REF!</v>
      </c>
      <c r="E10" s="29" t="e">
        <f>+VLOOKUP($B10,#REF!,4,FALSE)</f>
        <v>#REF!</v>
      </c>
      <c r="F10" s="30" t="e">
        <f>+E10</f>
        <v>#REF!</v>
      </c>
      <c r="G10" s="29" t="e">
        <f>+VLOOKUP($B10,#REF!,6,FALSE)</f>
        <v>#REF!</v>
      </c>
      <c r="H10" s="30" t="e">
        <f>+VLOOKUP($B10,#REF!,7,FALSE)</f>
        <v>#REF!</v>
      </c>
      <c r="I10" s="29" t="e">
        <f>+H10</f>
        <v>#REF!</v>
      </c>
      <c r="J10" s="31">
        <f t="shared" si="0"/>
        <v>0</v>
      </c>
      <c r="L10" s="60" t="s">
        <v>81</v>
      </c>
      <c r="M10" s="61" t="e">
        <f>+#REF!</f>
        <v>#REF!</v>
      </c>
      <c r="N10" s="62" t="e">
        <f>+#REF!</f>
        <v>#REF!</v>
      </c>
    </row>
    <row r="11" spans="1:14" ht="15.75" thickBot="1">
      <c r="A11" s="408"/>
      <c r="B11" s="26" t="s">
        <v>24</v>
      </c>
      <c r="C11" s="27">
        <v>1.6</v>
      </c>
      <c r="D11" s="28" t="e">
        <f>+VLOOKUP($B11,#REF!,3,FALSE)</f>
        <v>#REF!</v>
      </c>
      <c r="E11" s="29" t="e">
        <f>+VLOOKUP($B11,#REF!,4,FALSE)</f>
        <v>#REF!</v>
      </c>
      <c r="F11" s="403" t="e">
        <f>+E11+E12</f>
        <v>#REF!</v>
      </c>
      <c r="G11" s="29" t="e">
        <f>+VLOOKUP($B11,#REF!,6,FALSE)</f>
        <v>#REF!</v>
      </c>
      <c r="H11" s="30" t="e">
        <f>+VLOOKUP($B11,#REF!,7,FALSE)</f>
        <v>#REF!</v>
      </c>
      <c r="I11" s="406" t="e">
        <f>+H11+H12</f>
        <v>#REF!</v>
      </c>
      <c r="J11" s="31">
        <f t="shared" si="0"/>
        <v>0</v>
      </c>
      <c r="L11" s="63" t="s">
        <v>82</v>
      </c>
      <c r="M11" s="64" t="e">
        <f>+#REF!</f>
        <v>#REF!</v>
      </c>
      <c r="N11" s="65" t="e">
        <f>+#REF!</f>
        <v>#REF!</v>
      </c>
    </row>
    <row r="12" spans="1:14" ht="15.75" thickBot="1">
      <c r="A12" s="408"/>
      <c r="B12" s="26" t="s">
        <v>26</v>
      </c>
      <c r="C12" s="27">
        <v>1.6</v>
      </c>
      <c r="D12" s="28" t="e">
        <f>+VLOOKUP($B12,#REF!,3,FALSE)</f>
        <v>#REF!</v>
      </c>
      <c r="E12" s="29" t="e">
        <f>+VLOOKUP($B12,#REF!,4,FALSE)</f>
        <v>#REF!</v>
      </c>
      <c r="F12" s="402" t="e">
        <f>[1]ene14!F12+[1]feb14!F12+[1]mar14!F12+#REF!+#REF!+#REF!+#REF!+#REF!+#REF!+#REF!+#REF!+#REF!</f>
        <v>#REF!</v>
      </c>
      <c r="G12" s="27" t="e">
        <f>+VLOOKUP($B12,#REF!,6,FALSE)</f>
        <v>#REF!</v>
      </c>
      <c r="H12" s="30" t="e">
        <f>+VLOOKUP($B12,#REF!,7,FALSE)</f>
        <v>#REF!</v>
      </c>
      <c r="I12" s="405" t="e">
        <f>[1]ene14!I12+[1]feb14!I12+[1]mar14!I12+#REF!+#REF!+#REF!+#REF!+#REF!+#REF!+#REF!</f>
        <v>#REF!</v>
      </c>
      <c r="J12" s="31">
        <f t="shared" si="0"/>
        <v>0</v>
      </c>
      <c r="L12" s="60" t="s">
        <v>83</v>
      </c>
      <c r="M12" s="61" t="e">
        <f>+#REF!</f>
        <v>#REF!</v>
      </c>
      <c r="N12" s="62" t="e">
        <f>+#REF!</f>
        <v>#REF!</v>
      </c>
    </row>
    <row r="13" spans="1:14" ht="15.75" thickBot="1">
      <c r="A13" s="408"/>
      <c r="B13" s="26" t="s">
        <v>66</v>
      </c>
      <c r="C13" s="27">
        <v>1.6</v>
      </c>
      <c r="D13" s="28" t="e">
        <f>+VLOOKUP($B13,#REF!,3,FALSE)</f>
        <v>#REF!</v>
      </c>
      <c r="E13" s="29" t="e">
        <f>+VLOOKUP($B13,#REF!,4,FALSE)</f>
        <v>#REF!</v>
      </c>
      <c r="F13" s="403" t="e">
        <f>+E13+E14</f>
        <v>#REF!</v>
      </c>
      <c r="G13" s="29" t="e">
        <f>+VLOOKUP($B13,#REF!,6,FALSE)</f>
        <v>#REF!</v>
      </c>
      <c r="H13" s="30" t="e">
        <f>+VLOOKUP($B13,#REF!,7,FALSE)</f>
        <v>#REF!</v>
      </c>
      <c r="I13" s="406" t="e">
        <f>+H13+H14</f>
        <v>#REF!</v>
      </c>
      <c r="J13" s="31">
        <f t="shared" si="0"/>
        <v>0</v>
      </c>
      <c r="L13" s="63" t="s">
        <v>84</v>
      </c>
      <c r="M13" s="64" t="e">
        <f>+#REF!</f>
        <v>#REF!</v>
      </c>
      <c r="N13" s="65" t="e">
        <f>+#REF!</f>
        <v>#REF!</v>
      </c>
    </row>
    <row r="14" spans="1:14" ht="15.75" thickBot="1">
      <c r="A14" s="408"/>
      <c r="B14" s="26" t="s">
        <v>67</v>
      </c>
      <c r="C14" s="27">
        <v>1.6</v>
      </c>
      <c r="D14" s="28" t="e">
        <f>+VLOOKUP($B14,#REF!,3,FALSE)</f>
        <v>#REF!</v>
      </c>
      <c r="E14" s="29" t="e">
        <f>+VLOOKUP($B14,#REF!,4,FALSE)</f>
        <v>#REF!</v>
      </c>
      <c r="F14" s="402" t="e">
        <f>[1]ene14!F14+[1]feb14!F14+[1]mar14!F14+#REF!+#REF!+#REF!+#REF!+#REF!+#REF!+#REF!</f>
        <v>#REF!</v>
      </c>
      <c r="G14" s="27" t="e">
        <f>+VLOOKUP($B14,#REF!,6,FALSE)</f>
        <v>#REF!</v>
      </c>
      <c r="H14" s="30" t="e">
        <f>+VLOOKUP($B14,#REF!,7,FALSE)</f>
        <v>#REF!</v>
      </c>
      <c r="I14" s="405" t="e">
        <f>[1]ene14!I14+[1]feb14!I14+[1]mar14!I14+#REF!+#REF!+#REF!+#REF!+#REF!+#REF!+#REF!</f>
        <v>#REF!</v>
      </c>
      <c r="J14" s="31">
        <f t="shared" si="0"/>
        <v>0</v>
      </c>
      <c r="L14" s="66" t="s">
        <v>85</v>
      </c>
      <c r="M14" s="67" t="e">
        <f>SUM(M2:M13)</f>
        <v>#REF!</v>
      </c>
      <c r="N14" s="67" t="e">
        <f>SUM(N2:N4)</f>
        <v>#REF!</v>
      </c>
    </row>
    <row r="15" spans="1:14" ht="15.75" thickBot="1">
      <c r="A15" s="408"/>
      <c r="B15" s="26" t="s">
        <v>64</v>
      </c>
      <c r="C15" s="27">
        <v>1.95</v>
      </c>
      <c r="D15" s="28" t="e">
        <f>+VLOOKUP($B15,#REF!,3,FALSE)</f>
        <v>#REF!</v>
      </c>
      <c r="E15" s="29" t="e">
        <f>+VLOOKUP($B15,#REF!,4,FALSE)</f>
        <v>#REF!</v>
      </c>
      <c r="F15" s="403" t="e">
        <f>+E15+E16</f>
        <v>#REF!</v>
      </c>
      <c r="G15" s="29" t="e">
        <f>+VLOOKUP($B15,#REF!,6,FALSE)</f>
        <v>#REF!</v>
      </c>
      <c r="H15" s="30" t="e">
        <f>+VLOOKUP($B15,#REF!,7,FALSE)</f>
        <v>#REF!</v>
      </c>
      <c r="I15" s="406" t="e">
        <f>+H15+H16</f>
        <v>#REF!</v>
      </c>
      <c r="J15" s="31">
        <f t="shared" si="0"/>
        <v>0</v>
      </c>
    </row>
    <row r="16" spans="1:14" ht="15.75" thickBot="1">
      <c r="A16" s="408"/>
      <c r="B16" s="26" t="s">
        <v>65</v>
      </c>
      <c r="C16" s="27">
        <v>1.95</v>
      </c>
      <c r="D16" s="28" t="e">
        <f>+VLOOKUP($B16,#REF!,3,FALSE)</f>
        <v>#REF!</v>
      </c>
      <c r="E16" s="29" t="e">
        <f>+VLOOKUP($B16,#REF!,4,FALSE)</f>
        <v>#REF!</v>
      </c>
      <c r="F16" s="402" t="e">
        <f>[1]ene14!F16+[1]feb14!F16+[1]mar14!F16+#REF!+#REF!+#REF!+#REF!+#REF!+#REF!+#REF!</f>
        <v>#REF!</v>
      </c>
      <c r="G16" s="29" t="e">
        <f>+VLOOKUP($B16,#REF!,6,FALSE)</f>
        <v>#REF!</v>
      </c>
      <c r="H16" s="30" t="e">
        <f>+VLOOKUP($B16,#REF!,7,FALSE)</f>
        <v>#REF!</v>
      </c>
      <c r="I16" s="405" t="e">
        <f>[1]ene14!I16+[1]feb14!I16+[1]mar14!I16+#REF!+#REF!+#REF!+#REF!+#REF!+#REF!+#REF!</f>
        <v>#REF!</v>
      </c>
      <c r="J16" s="31">
        <f t="shared" si="0"/>
        <v>0</v>
      </c>
      <c r="L16" s="13"/>
      <c r="N16" s="13" t="e">
        <f>M14-N14</f>
        <v>#REF!</v>
      </c>
    </row>
    <row r="17" spans="1:14" ht="15.75" thickBot="1">
      <c r="A17" s="33"/>
      <c r="B17" s="26" t="s">
        <v>32</v>
      </c>
      <c r="C17" s="27">
        <v>2.8</v>
      </c>
      <c r="D17" s="28" t="e">
        <f>+VLOOKUP($B17,#REF!,3,FALSE)</f>
        <v>#REF!</v>
      </c>
      <c r="E17" s="29" t="e">
        <f>+VLOOKUP($B17,#REF!,4,FALSE)</f>
        <v>#REF!</v>
      </c>
      <c r="F17" s="30" t="e">
        <f>+E17</f>
        <v>#REF!</v>
      </c>
      <c r="G17" s="29" t="e">
        <f>+VLOOKUP($B17,#REF!,6,FALSE)</f>
        <v>#REF!</v>
      </c>
      <c r="H17" s="30" t="e">
        <f>+VLOOKUP($B17,#REF!,7,FALSE)</f>
        <v>#REF!</v>
      </c>
      <c r="I17" s="29" t="e">
        <f>+H17</f>
        <v>#REF!</v>
      </c>
      <c r="J17" s="31">
        <f t="shared" si="0"/>
        <v>0</v>
      </c>
      <c r="L17" s="13"/>
      <c r="N17" s="13"/>
    </row>
    <row r="18" spans="1:14" ht="15.75" thickBot="1">
      <c r="A18" s="394" t="s">
        <v>33</v>
      </c>
      <c r="B18" s="395"/>
      <c r="C18" s="34">
        <f>SUM(C2:C17)</f>
        <v>17.809999999999999</v>
      </c>
      <c r="D18" s="35" t="e">
        <f t="shared" ref="D18:J18" si="1">SUM(D2:D17)</f>
        <v>#REF!</v>
      </c>
      <c r="E18" s="36" t="e">
        <f t="shared" si="1"/>
        <v>#REF!</v>
      </c>
      <c r="F18" s="37" t="e">
        <f>+F2+F3+F4+F6+F8+F9+F10+F11+F13+F15+F17</f>
        <v>#REF!</v>
      </c>
      <c r="G18" s="38" t="e">
        <f t="shared" si="1"/>
        <v>#REF!</v>
      </c>
      <c r="H18" s="38" t="e">
        <f t="shared" si="1"/>
        <v>#REF!</v>
      </c>
      <c r="I18" s="37" t="e">
        <f>+I2+I3+I4+I6+I8+I9+I10+I11+I13+I15+I17</f>
        <v>#REF!</v>
      </c>
      <c r="J18" s="39">
        <f t="shared" si="1"/>
        <v>0</v>
      </c>
      <c r="K18" s="68"/>
      <c r="L18" s="19"/>
      <c r="N18" s="69" t="e">
        <f>N16/N14</f>
        <v>#REF!</v>
      </c>
    </row>
    <row r="19" spans="1:14" ht="15" customHeight="1" thickBot="1">
      <c r="A19" s="398" t="s">
        <v>101</v>
      </c>
      <c r="B19" s="26" t="s">
        <v>62</v>
      </c>
      <c r="C19" s="27">
        <v>4.8499999999999996</v>
      </c>
      <c r="D19" s="28" t="e">
        <f>+VLOOKUP($B19,#REF!,3,FALSE)</f>
        <v>#REF!</v>
      </c>
      <c r="E19" s="29" t="e">
        <f>+VLOOKUP($B19,#REF!,4,FALSE)</f>
        <v>#REF!</v>
      </c>
      <c r="F19" s="401" t="e">
        <f>+E19+E20</f>
        <v>#REF!</v>
      </c>
      <c r="G19" s="29" t="e">
        <f>+VLOOKUP($B19,#REF!,6,FALSE)</f>
        <v>#REF!</v>
      </c>
      <c r="H19" s="30" t="e">
        <f>+VLOOKUP($B19,#REF!,7,FALSE)</f>
        <v>#REF!</v>
      </c>
      <c r="I19" s="404" t="e">
        <f>+H19+H20</f>
        <v>#REF!</v>
      </c>
      <c r="J19" s="40">
        <f t="shared" si="0"/>
        <v>0</v>
      </c>
    </row>
    <row r="20" spans="1:14" ht="15.75" thickBot="1">
      <c r="A20" s="399"/>
      <c r="B20" s="26" t="s">
        <v>63</v>
      </c>
      <c r="C20" s="27">
        <v>4.8499999999999996</v>
      </c>
      <c r="D20" s="28" t="e">
        <f>+VLOOKUP($B20,#REF!,3,FALSE)</f>
        <v>#REF!</v>
      </c>
      <c r="E20" s="29" t="e">
        <f>+VLOOKUP($B20,#REF!,4,FALSE)</f>
        <v>#REF!</v>
      </c>
      <c r="F20" s="402" t="e">
        <f>[1]ene14!F18+[1]feb14!F18+[1]mar14!F18+#REF!+#REF!+#REF!+#REF!+#REF!+#REF!+#REF!</f>
        <v>#REF!</v>
      </c>
      <c r="G20" s="27" t="e">
        <f>+VLOOKUP($B20,#REF!,6,FALSE)</f>
        <v>#REF!</v>
      </c>
      <c r="H20" s="30" t="e">
        <f>+VLOOKUP($B20,#REF!,7,FALSE)</f>
        <v>#REF!</v>
      </c>
      <c r="I20" s="405" t="e">
        <f>[1]ene14!I18+[1]feb14!I18+[1]mar14!I18+#REF!+#REF!+#REF!+#REF!+#REF!+#REF!+#REF!</f>
        <v>#REF!</v>
      </c>
      <c r="J20" s="31">
        <f t="shared" si="0"/>
        <v>0</v>
      </c>
    </row>
    <row r="21" spans="1:14" ht="15.75" thickBot="1">
      <c r="A21" s="399"/>
      <c r="B21" s="26" t="s">
        <v>60</v>
      </c>
      <c r="C21" s="27">
        <v>6.3</v>
      </c>
      <c r="D21" s="28" t="e">
        <f>+VLOOKUP($B21,#REF!,3,FALSE)</f>
        <v>#REF!</v>
      </c>
      <c r="E21" s="29" t="e">
        <f>+VLOOKUP($B21,#REF!,4,FALSE)</f>
        <v>#REF!</v>
      </c>
      <c r="F21" s="30" t="e">
        <f>+E21</f>
        <v>#REF!</v>
      </c>
      <c r="G21" s="29" t="e">
        <f>+VLOOKUP($B21,#REF!,6,FALSE)</f>
        <v>#REF!</v>
      </c>
      <c r="H21" s="30" t="e">
        <f>+VLOOKUP($B21,#REF!,7,FALSE)</f>
        <v>#REF!</v>
      </c>
      <c r="I21" s="29" t="e">
        <f>+H21</f>
        <v>#REF!</v>
      </c>
      <c r="J21" s="31">
        <f t="shared" si="0"/>
        <v>0</v>
      </c>
    </row>
    <row r="22" spans="1:14" ht="15.75" thickBot="1">
      <c r="A22" s="399"/>
      <c r="B22" s="26" t="s">
        <v>61</v>
      </c>
      <c r="C22" s="27">
        <v>7.5</v>
      </c>
      <c r="D22" s="28" t="e">
        <f>+VLOOKUP($B22,#REF!,3,FALSE)</f>
        <v>#REF!</v>
      </c>
      <c r="E22" s="29" t="e">
        <f>+VLOOKUP($B22,#REF!,4,FALSE)</f>
        <v>#REF!</v>
      </c>
      <c r="F22" s="30" t="e">
        <f>+E22</f>
        <v>#REF!</v>
      </c>
      <c r="G22" s="29" t="e">
        <f>+VLOOKUP($B22,#REF!,6,FALSE)</f>
        <v>#REF!</v>
      </c>
      <c r="H22" s="30" t="e">
        <f>+VLOOKUP($B22,#REF!,7,FALSE)</f>
        <v>#REF!</v>
      </c>
      <c r="I22" s="29" t="e">
        <f>+H22</f>
        <v>#REF!</v>
      </c>
      <c r="J22" s="31">
        <f t="shared" si="0"/>
        <v>0</v>
      </c>
    </row>
    <row r="23" spans="1:14" ht="15.75" thickBot="1">
      <c r="A23" s="399"/>
      <c r="B23" s="26" t="s">
        <v>36</v>
      </c>
      <c r="C23" s="27">
        <v>8</v>
      </c>
      <c r="D23" s="28" t="e">
        <f>+VLOOKUP($B23,#REF!,3,FALSE)</f>
        <v>#REF!</v>
      </c>
      <c r="E23" s="29" t="e">
        <f>+VLOOKUP($B23,#REF!,4,FALSE)</f>
        <v>#REF!</v>
      </c>
      <c r="F23" s="30" t="e">
        <f>+E23</f>
        <v>#REF!</v>
      </c>
      <c r="G23" s="29" t="e">
        <f>+VLOOKUP($B23,#REF!,6,FALSE)</f>
        <v>#REF!</v>
      </c>
      <c r="H23" s="30" t="e">
        <f>+VLOOKUP($B23,#REF!,7,FALSE)</f>
        <v>#REF!</v>
      </c>
      <c r="I23" s="29" t="e">
        <f>+H23</f>
        <v>#REF!</v>
      </c>
      <c r="J23" s="31">
        <f t="shared" si="0"/>
        <v>0</v>
      </c>
    </row>
    <row r="24" spans="1:14" ht="15.75" thickBot="1">
      <c r="A24" s="399"/>
      <c r="B24" s="26" t="s">
        <v>37</v>
      </c>
      <c r="C24" s="27">
        <v>8.4</v>
      </c>
      <c r="D24" s="28" t="e">
        <f>+VLOOKUP($B24,#REF!,3,FALSE)</f>
        <v>#REF!</v>
      </c>
      <c r="E24" s="29" t="e">
        <f>+VLOOKUP($B24,#REF!,4,FALSE)</f>
        <v>#REF!</v>
      </c>
      <c r="F24" s="30" t="e">
        <f>+E24</f>
        <v>#REF!</v>
      </c>
      <c r="G24" s="29" t="e">
        <f>+VLOOKUP($B24,#REF!,6,FALSE)</f>
        <v>#REF!</v>
      </c>
      <c r="H24" s="30" t="e">
        <f>+VLOOKUP($B24,#REF!,7,FALSE)</f>
        <v>#REF!</v>
      </c>
      <c r="I24" s="29" t="e">
        <f>+H24</f>
        <v>#REF!</v>
      </c>
      <c r="J24" s="31">
        <f t="shared" si="0"/>
        <v>0</v>
      </c>
    </row>
    <row r="25" spans="1:14" ht="15.75" thickBot="1">
      <c r="A25" s="399"/>
      <c r="B25" s="26" t="s">
        <v>35</v>
      </c>
      <c r="C25" s="27">
        <v>10.1</v>
      </c>
      <c r="D25" s="28" t="e">
        <f>+VLOOKUP($B25,#REF!,3,FALSE)</f>
        <v>#REF!</v>
      </c>
      <c r="E25" s="29" t="e">
        <f>+VLOOKUP($B25,#REF!,4,FALSE)</f>
        <v>#REF!</v>
      </c>
      <c r="F25" s="30" t="e">
        <f>+E25</f>
        <v>#REF!</v>
      </c>
      <c r="G25" s="29" t="e">
        <f>+VLOOKUP($B25,#REF!,6,FALSE)</f>
        <v>#REF!</v>
      </c>
      <c r="H25" s="30" t="e">
        <f>+VLOOKUP($B25,#REF!,7,FALSE)</f>
        <v>#REF!</v>
      </c>
      <c r="I25" s="29" t="e">
        <f>+H25</f>
        <v>#REF!</v>
      </c>
      <c r="J25" s="31">
        <f t="shared" si="0"/>
        <v>0</v>
      </c>
    </row>
    <row r="26" spans="1:14" ht="15.75" thickBot="1">
      <c r="A26" s="399"/>
      <c r="B26" s="26" t="s">
        <v>38</v>
      </c>
      <c r="C26" s="27">
        <v>12.5</v>
      </c>
      <c r="D26" s="28" t="e">
        <f>+VLOOKUP($B26,#REF!,3,FALSE)</f>
        <v>#REF!</v>
      </c>
      <c r="E26" s="29" t="e">
        <f>+VLOOKUP($B26,#REF!,4,FALSE)</f>
        <v>#REF!</v>
      </c>
      <c r="F26" s="403" t="e">
        <f>+E26+E27</f>
        <v>#REF!</v>
      </c>
      <c r="G26" s="29" t="e">
        <f>+VLOOKUP($B26,#REF!,6,FALSE)</f>
        <v>#REF!</v>
      </c>
      <c r="H26" s="30" t="e">
        <f>+VLOOKUP($B26,#REF!,7,FALSE)</f>
        <v>#REF!</v>
      </c>
      <c r="I26" s="406" t="e">
        <f>+H26+H27</f>
        <v>#REF!</v>
      </c>
      <c r="J26" s="31">
        <f t="shared" si="0"/>
        <v>0</v>
      </c>
    </row>
    <row r="27" spans="1:14" ht="15.75" thickBot="1">
      <c r="A27" s="399"/>
      <c r="B27" s="26" t="s">
        <v>39</v>
      </c>
      <c r="C27" s="27">
        <v>12.5</v>
      </c>
      <c r="D27" s="28" t="e">
        <f>+VLOOKUP($B27,#REF!,3,FALSE)</f>
        <v>#REF!</v>
      </c>
      <c r="E27" s="29" t="e">
        <f>+VLOOKUP($B27,#REF!,4,FALSE)</f>
        <v>#REF!</v>
      </c>
      <c r="F27" s="402" t="e">
        <f>[1]ene14!F25+[1]feb14!F25+[1]mar14!F25+#REF!+#REF!+#REF!+#REF!+#REF!+#REF!+#REF!</f>
        <v>#REF!</v>
      </c>
      <c r="G27" s="29" t="e">
        <f>+VLOOKUP($B27,#REF!,6,FALSE)</f>
        <v>#REF!</v>
      </c>
      <c r="H27" s="30" t="e">
        <f>+VLOOKUP($B27,#REF!,7,FALSE)</f>
        <v>#REF!</v>
      </c>
      <c r="I27" s="405"/>
      <c r="J27" s="31">
        <f t="shared" si="0"/>
        <v>0</v>
      </c>
    </row>
    <row r="28" spans="1:14" ht="15.75" thickBot="1">
      <c r="A28" s="399"/>
      <c r="B28" s="26" t="s">
        <v>59</v>
      </c>
      <c r="C28" s="27">
        <v>13</v>
      </c>
      <c r="D28" s="28" t="e">
        <f>+VLOOKUP($B28,#REF!,3,FALSE)</f>
        <v>#REF!</v>
      </c>
      <c r="E28" s="29" t="e">
        <f>+VLOOKUP($B28,#REF!,4,FALSE)</f>
        <v>#REF!</v>
      </c>
      <c r="F28" s="30" t="e">
        <f>+E28</f>
        <v>#REF!</v>
      </c>
      <c r="G28" s="29" t="e">
        <f>+VLOOKUP($B28,#REF!,6,FALSE)</f>
        <v>#REF!</v>
      </c>
      <c r="H28" s="30" t="e">
        <f>+VLOOKUP($B28,#REF!,7,FALSE)</f>
        <v>#REF!</v>
      </c>
      <c r="I28" s="29" t="e">
        <f>+H28</f>
        <v>#REF!</v>
      </c>
      <c r="J28" s="31">
        <f t="shared" si="0"/>
        <v>0</v>
      </c>
    </row>
    <row r="29" spans="1:14" ht="15.75" thickBot="1">
      <c r="A29" s="399"/>
      <c r="B29" s="26" t="s">
        <v>19</v>
      </c>
      <c r="C29" s="27">
        <v>18</v>
      </c>
      <c r="D29" s="28" t="e">
        <f>+VLOOKUP($B29,#REF!,3,FALSE)</f>
        <v>#REF!</v>
      </c>
      <c r="E29" s="29" t="e">
        <f>+VLOOKUP($B29,#REF!,4,FALSE)</f>
        <v>#REF!</v>
      </c>
      <c r="F29" s="30" t="e">
        <f>+E29</f>
        <v>#REF!</v>
      </c>
      <c r="G29" s="29" t="e">
        <f>+VLOOKUP($B29,#REF!,6,FALSE)</f>
        <v>#REF!</v>
      </c>
      <c r="H29" s="30" t="e">
        <f>+VLOOKUP($B29,#REF!,7,FALSE)</f>
        <v>#REF!</v>
      </c>
      <c r="I29" s="29" t="e">
        <f>+H29</f>
        <v>#REF!</v>
      </c>
      <c r="J29" s="31">
        <f t="shared" si="0"/>
        <v>0</v>
      </c>
      <c r="L29" s="19"/>
    </row>
    <row r="30" spans="1:14" ht="15.75" thickBot="1">
      <c r="A30" s="399"/>
      <c r="B30" s="26" t="s">
        <v>44</v>
      </c>
      <c r="C30" s="27">
        <v>25</v>
      </c>
      <c r="D30" s="28" t="e">
        <f>+VLOOKUP($B30,#REF!,3,FALSE)</f>
        <v>#REF!</v>
      </c>
      <c r="E30" s="29" t="e">
        <f>+VLOOKUP($B30,#REF!,4,FALSE)</f>
        <v>#REF!</v>
      </c>
      <c r="F30" s="403" t="e">
        <f>+E30+E31</f>
        <v>#REF!</v>
      </c>
      <c r="G30" s="29" t="e">
        <f>+VLOOKUP($B30,#REF!,6,FALSE)</f>
        <v>#REF!</v>
      </c>
      <c r="H30" s="30" t="e">
        <f>+VLOOKUP($B30,#REF!,7,FALSE)</f>
        <v>#REF!</v>
      </c>
      <c r="I30" s="406" t="e">
        <f>+H30+H31</f>
        <v>#REF!</v>
      </c>
      <c r="J30" s="31">
        <f t="shared" si="0"/>
        <v>0</v>
      </c>
      <c r="L30" s="19"/>
    </row>
    <row r="31" spans="1:14" ht="15.75" thickBot="1">
      <c r="A31" s="399"/>
      <c r="B31" s="26" t="s">
        <v>45</v>
      </c>
      <c r="C31" s="27">
        <v>25</v>
      </c>
      <c r="D31" s="28" t="e">
        <f>+VLOOKUP($B31,#REF!,3,FALSE)</f>
        <v>#REF!</v>
      </c>
      <c r="E31" s="29" t="e">
        <f>+VLOOKUP($B31,#REF!,4,FALSE)</f>
        <v>#REF!</v>
      </c>
      <c r="F31" s="402" t="e">
        <f>[1]ene14!F29+[1]feb14!F29+[1]mar14!F29+#REF!+#REF!+#REF!+#REF!+#REF!+#REF!+#REF!</f>
        <v>#REF!</v>
      </c>
      <c r="G31" s="27" t="e">
        <f>+VLOOKUP($B31,#REF!,6,FALSE)</f>
        <v>#REF!</v>
      </c>
      <c r="H31" s="30" t="e">
        <f>+VLOOKUP($B31,#REF!,7,FALSE)</f>
        <v>#REF!</v>
      </c>
      <c r="I31" s="405"/>
      <c r="J31" s="31">
        <f t="shared" si="0"/>
        <v>0</v>
      </c>
      <c r="L31" s="19"/>
    </row>
    <row r="32" spans="1:14" ht="15.75" thickBot="1">
      <c r="A32" s="399"/>
      <c r="B32" s="26" t="s">
        <v>21</v>
      </c>
      <c r="C32" s="27">
        <v>26</v>
      </c>
      <c r="D32" s="28" t="e">
        <f>+VLOOKUP($B32,#REF!,3,FALSE)</f>
        <v>#REF!</v>
      </c>
      <c r="E32" s="29" t="e">
        <f>+VLOOKUP($B32,#REF!,4,FALSE)</f>
        <v>#REF!</v>
      </c>
      <c r="F32" s="403" t="e">
        <f>+E32+E33</f>
        <v>#REF!</v>
      </c>
      <c r="G32" s="29" t="e">
        <f>+VLOOKUP($B32,#REF!,6,FALSE)</f>
        <v>#REF!</v>
      </c>
      <c r="H32" s="30" t="e">
        <f>+VLOOKUP($B32,#REF!,7,FALSE)</f>
        <v>#REF!</v>
      </c>
      <c r="I32" s="406" t="e">
        <f>+H32+H33</f>
        <v>#REF!</v>
      </c>
      <c r="J32" s="31">
        <f t="shared" si="0"/>
        <v>0</v>
      </c>
    </row>
    <row r="33" spans="1:11" ht="15.75" thickBot="1">
      <c r="A33" s="399"/>
      <c r="B33" s="26" t="s">
        <v>22</v>
      </c>
      <c r="C33" s="27">
        <v>26</v>
      </c>
      <c r="D33" s="28" t="e">
        <f>+VLOOKUP($B33,#REF!,3,FALSE)</f>
        <v>#REF!</v>
      </c>
      <c r="E33" s="29" t="e">
        <f>+VLOOKUP($B33,#REF!,4,FALSE)</f>
        <v>#REF!</v>
      </c>
      <c r="F33" s="402" t="e">
        <f>[1]ene14!F31+[1]feb14!F31+[1]mar14!F31+#REF!+#REF!+#REF!+#REF!+#REF!+#REF!+#REF!</f>
        <v>#REF!</v>
      </c>
      <c r="G33" s="27" t="e">
        <f>+VLOOKUP($B33,#REF!,6,FALSE)</f>
        <v>#REF!</v>
      </c>
      <c r="H33" s="30" t="e">
        <f>+VLOOKUP($B33,#REF!,7,FALSE)</f>
        <v>#REF!</v>
      </c>
      <c r="I33" s="405"/>
      <c r="J33" s="31">
        <f t="shared" si="0"/>
        <v>0</v>
      </c>
    </row>
    <row r="34" spans="1:11" ht="15.75" thickBot="1">
      <c r="A34" s="399"/>
      <c r="B34" s="26" t="s">
        <v>49</v>
      </c>
      <c r="C34" s="27">
        <v>27</v>
      </c>
      <c r="D34" s="28" t="e">
        <f>+VLOOKUP($B34,#REF!,3,FALSE)</f>
        <v>#REF!</v>
      </c>
      <c r="E34" s="29" t="e">
        <f>+VLOOKUP($B34,#REF!,4,FALSE)</f>
        <v>#REF!</v>
      </c>
      <c r="F34" s="403" t="e">
        <f>+E34+E35</f>
        <v>#REF!</v>
      </c>
      <c r="G34" s="29" t="e">
        <f>+VLOOKUP($B34,#REF!,6,FALSE)</f>
        <v>#REF!</v>
      </c>
      <c r="H34" s="30" t="e">
        <f>+VLOOKUP($B34,#REF!,7,FALSE)</f>
        <v>#REF!</v>
      </c>
      <c r="I34" s="406" t="e">
        <f>+H34+H35</f>
        <v>#REF!</v>
      </c>
      <c r="J34" s="31">
        <f t="shared" si="0"/>
        <v>0</v>
      </c>
    </row>
    <row r="35" spans="1:11" ht="15.75" thickBot="1">
      <c r="A35" s="400"/>
      <c r="B35" s="41" t="s">
        <v>50</v>
      </c>
      <c r="C35" s="42">
        <v>27</v>
      </c>
      <c r="D35" s="43" t="e">
        <f>+VLOOKUP($B35,#REF!,3,FALSE)</f>
        <v>#REF!</v>
      </c>
      <c r="E35" s="44" t="e">
        <f>+VLOOKUP($B35,#REF!,4,FALSE)</f>
        <v>#REF!</v>
      </c>
      <c r="F35" s="402" t="e">
        <f>[1]ene14!F33+[1]feb14!F33+[1]mar14!F33+#REF!+#REF!+#REF!+#REF!+#REF!+#REF!+#REF!</f>
        <v>#REF!</v>
      </c>
      <c r="G35" s="42" t="e">
        <f>+VLOOKUP($B35,#REF!,6,FALSE)</f>
        <v>#REF!</v>
      </c>
      <c r="H35" s="45" t="e">
        <f>+VLOOKUP($B35,#REF!,7,FALSE)</f>
        <v>#REF!</v>
      </c>
      <c r="I35" s="405"/>
      <c r="J35" s="46">
        <f t="shared" si="0"/>
        <v>0</v>
      </c>
    </row>
    <row r="36" spans="1:11" ht="15.75" thickBot="1">
      <c r="A36" s="394" t="s">
        <v>33</v>
      </c>
      <c r="B36" s="395"/>
      <c r="C36" s="47">
        <f>SUM(C19:C35)</f>
        <v>262</v>
      </c>
      <c r="D36" s="48" t="e">
        <f>SUM(D19:D35)</f>
        <v>#REF!</v>
      </c>
      <c r="E36" s="49" t="e">
        <f t="shared" ref="E36:G36" si="2">SUM(E19:E35)</f>
        <v>#REF!</v>
      </c>
      <c r="F36" s="50" t="e">
        <f>+F19+F21+F22+F23+F24+F25+F26+F28+F29+F30+F32+F34</f>
        <v>#REF!</v>
      </c>
      <c r="G36" s="38" t="e">
        <f t="shared" si="2"/>
        <v>#REF!</v>
      </c>
      <c r="H36" s="38" t="e">
        <f t="shared" ref="H36" si="3">SUM(H19:H35)</f>
        <v>#REF!</v>
      </c>
      <c r="I36" s="37" t="e">
        <f>+I19+I21+I22+I23+I24+I25+I26+I28+I29+I30+I32+I34</f>
        <v>#REF!</v>
      </c>
      <c r="J36" s="51">
        <f t="shared" ref="J36" si="4">SUM(J19:J35)</f>
        <v>0</v>
      </c>
      <c r="K36" s="69"/>
    </row>
    <row r="37" spans="1:11" ht="15" customHeight="1" thickBot="1">
      <c r="A37" s="398" t="s">
        <v>102</v>
      </c>
      <c r="B37" s="52" t="s">
        <v>53</v>
      </c>
      <c r="C37" s="27">
        <v>30</v>
      </c>
      <c r="D37" s="28" t="e">
        <f>+VLOOKUP($B37,#REF!,3,FALSE)</f>
        <v>#REF!</v>
      </c>
      <c r="E37" s="29" t="e">
        <f>+VLOOKUP($B37,#REF!,4,FALSE)</f>
        <v>#REF!</v>
      </c>
      <c r="F37" s="401" t="e">
        <f>+E37+E38</f>
        <v>#REF!</v>
      </c>
      <c r="G37" s="29" t="e">
        <f>+VLOOKUP($B37,#REF!,6,FALSE)</f>
        <v>#REF!</v>
      </c>
      <c r="H37" s="30" t="e">
        <f>+VLOOKUP($B37,#REF!,7,FALSE)</f>
        <v>#REF!</v>
      </c>
      <c r="I37" s="404" t="e">
        <f>+H37+H38</f>
        <v>#REF!</v>
      </c>
      <c r="J37" s="31">
        <f>IFERROR((E37/1000)/D37,0)</f>
        <v>0</v>
      </c>
    </row>
    <row r="38" spans="1:11" ht="15.75" thickBot="1">
      <c r="A38" s="399"/>
      <c r="B38" s="52" t="s">
        <v>54</v>
      </c>
      <c r="C38" s="27">
        <v>30</v>
      </c>
      <c r="D38" s="28" t="e">
        <f>+VLOOKUP($B38,#REF!,3,FALSE)</f>
        <v>#REF!</v>
      </c>
      <c r="E38" s="29" t="e">
        <f>+VLOOKUP($B38,#REF!,4,FALSE)</f>
        <v>#REF!</v>
      </c>
      <c r="F38" s="402" t="e">
        <f>[1]ene14!F35+[1]feb14!F35+[1]mar14!F35+#REF!+#REF!+#REF!+#REF!+#REF!+#REF!+#REF!</f>
        <v>#REF!</v>
      </c>
      <c r="G38" s="29" t="e">
        <f>+VLOOKUP($B38,#REF!,6,FALSE)</f>
        <v>#REF!</v>
      </c>
      <c r="H38" s="30" t="e">
        <f>+VLOOKUP($B38,#REF!,7,FALSE)</f>
        <v>#REF!</v>
      </c>
      <c r="I38" s="405"/>
      <c r="J38" s="31">
        <f t="shared" si="0"/>
        <v>0</v>
      </c>
    </row>
    <row r="39" spans="1:11" ht="15.75" thickBot="1">
      <c r="A39" s="399"/>
      <c r="B39" s="52" t="s">
        <v>103</v>
      </c>
      <c r="C39" s="27">
        <v>40</v>
      </c>
      <c r="D39" s="28" t="e">
        <f>+VLOOKUP($B39,#REF!,3,FALSE)</f>
        <v>#REF!</v>
      </c>
      <c r="E39" s="29" t="e">
        <f>+VLOOKUP($B39,#REF!,4,FALSE)</f>
        <v>#REF!</v>
      </c>
      <c r="F39" s="403" t="e">
        <f>+E39+E40</f>
        <v>#REF!</v>
      </c>
      <c r="G39" s="29" t="e">
        <f>+VLOOKUP($B39,#REF!,6,FALSE)</f>
        <v>#REF!</v>
      </c>
      <c r="H39" s="30" t="e">
        <f>+VLOOKUP($B39,#REF!,7,FALSE)</f>
        <v>#REF!</v>
      </c>
      <c r="I39" s="406" t="e">
        <f t="shared" ref="I39" si="5">+H39+H40</f>
        <v>#REF!</v>
      </c>
      <c r="J39" s="31">
        <f t="shared" si="0"/>
        <v>0</v>
      </c>
    </row>
    <row r="40" spans="1:11" ht="15.75" thickBot="1">
      <c r="A40" s="399"/>
      <c r="B40" s="52" t="s">
        <v>104</v>
      </c>
      <c r="C40" s="27">
        <v>40</v>
      </c>
      <c r="D40" s="28" t="e">
        <f>+VLOOKUP($B40,#REF!,3,FALSE)</f>
        <v>#REF!</v>
      </c>
      <c r="E40" s="29" t="e">
        <f>+VLOOKUP($B40,#REF!,4,FALSE)</f>
        <v>#REF!</v>
      </c>
      <c r="F40" s="402" t="e">
        <f>[1]ene14!F37+[1]feb14!F37+[1]mar14!F37+#REF!+#REF!+#REF!+#REF!+#REF!+#REF!+#REF!</f>
        <v>#REF!</v>
      </c>
      <c r="G40" s="27" t="e">
        <f>+VLOOKUP($B40,#REF!,6,FALSE)</f>
        <v>#REF!</v>
      </c>
      <c r="H40" s="30" t="e">
        <f>+VLOOKUP($B40,#REF!,7,FALSE)</f>
        <v>#REF!</v>
      </c>
      <c r="I40" s="405"/>
      <c r="J40" s="31">
        <f t="shared" si="0"/>
        <v>0</v>
      </c>
    </row>
    <row r="41" spans="1:11" ht="15.75" thickBot="1">
      <c r="A41" s="399"/>
      <c r="B41" s="52" t="s">
        <v>14</v>
      </c>
      <c r="C41" s="27">
        <v>48</v>
      </c>
      <c r="D41" s="28" t="e">
        <f>+VLOOKUP($B41,#REF!,3,FALSE)</f>
        <v>#REF!</v>
      </c>
      <c r="E41" s="29" t="e">
        <f>+VLOOKUP($B41,#REF!,4,FALSE)</f>
        <v>#REF!</v>
      </c>
      <c r="F41" s="403" t="e">
        <f>+E41+E42</f>
        <v>#REF!</v>
      </c>
      <c r="G41" s="29" t="e">
        <f>+VLOOKUP($B41,#REF!,6,FALSE)</f>
        <v>#REF!</v>
      </c>
      <c r="H41" s="30" t="e">
        <f>+VLOOKUP($B41,#REF!,7,FALSE)</f>
        <v>#REF!</v>
      </c>
      <c r="I41" s="406" t="e">
        <f t="shared" ref="I41" si="6">+H41+H42</f>
        <v>#REF!</v>
      </c>
      <c r="J41" s="31">
        <f t="shared" si="0"/>
        <v>0</v>
      </c>
    </row>
    <row r="42" spans="1:11" ht="15.75" thickBot="1">
      <c r="A42" s="399"/>
      <c r="B42" s="52" t="s">
        <v>17</v>
      </c>
      <c r="C42" s="27">
        <v>48</v>
      </c>
      <c r="D42" s="28" t="e">
        <f>+VLOOKUP($B42,#REF!,3,FALSE)</f>
        <v>#REF!</v>
      </c>
      <c r="E42" s="29" t="e">
        <f>+VLOOKUP($B42,#REF!,4,FALSE)</f>
        <v>#REF!</v>
      </c>
      <c r="F42" s="402" t="e">
        <f>[1]ene14!F39+[1]feb14!F39+[1]mar14!F39+#REF!+#REF!+#REF!+#REF!+#REF!+#REF!+#REF!</f>
        <v>#REF!</v>
      </c>
      <c r="G42" s="27" t="e">
        <f>+VLOOKUP($B42,#REF!,6,FALSE)</f>
        <v>#REF!</v>
      </c>
      <c r="H42" s="30" t="e">
        <f>+VLOOKUP($B42,#REF!,7,FALSE)</f>
        <v>#REF!</v>
      </c>
      <c r="I42" s="405"/>
      <c r="J42" s="31">
        <f t="shared" si="0"/>
        <v>0</v>
      </c>
    </row>
    <row r="43" spans="1:11" ht="15.75" thickBot="1">
      <c r="A43" s="399"/>
      <c r="B43" s="52" t="s">
        <v>51</v>
      </c>
      <c r="C43" s="27">
        <v>49</v>
      </c>
      <c r="D43" s="28" t="e">
        <f>+VLOOKUP($B43,#REF!,3,FALSE)</f>
        <v>#REF!</v>
      </c>
      <c r="E43" s="29" t="e">
        <f>+VLOOKUP($B43,#REF!,4,FALSE)</f>
        <v>#REF!</v>
      </c>
      <c r="F43" s="403" t="e">
        <f>+E43+E44</f>
        <v>#REF!</v>
      </c>
      <c r="G43" s="27" t="e">
        <f>+VLOOKUP($B43,#REF!,6,FALSE)</f>
        <v>#REF!</v>
      </c>
      <c r="H43" s="30" t="e">
        <f>+VLOOKUP($B43,#REF!,7,FALSE)</f>
        <v>#REF!</v>
      </c>
      <c r="I43" s="406" t="e">
        <f t="shared" ref="I43" si="7">+H43+H44</f>
        <v>#REF!</v>
      </c>
      <c r="J43" s="31">
        <f t="shared" si="0"/>
        <v>0</v>
      </c>
    </row>
    <row r="44" spans="1:11" ht="15.75" thickBot="1">
      <c r="A44" s="400"/>
      <c r="B44" s="53" t="s">
        <v>52</v>
      </c>
      <c r="C44" s="42">
        <v>49</v>
      </c>
      <c r="D44" s="28" t="e">
        <f>+VLOOKUP($B44,#REF!,3,FALSE)</f>
        <v>#REF!</v>
      </c>
      <c r="E44" s="29" t="e">
        <f>+VLOOKUP($B44,#REF!,4,FALSE)</f>
        <v>#REF!</v>
      </c>
      <c r="F44" s="402" t="e">
        <f>[1]ene14!F41+[1]feb14!F41+[1]mar14!F41+#REF!+#REF!+#REF!+#REF!+#REF!+#REF!+#REF!</f>
        <v>#REF!</v>
      </c>
      <c r="G44" s="44" t="e">
        <f>+VLOOKUP($B44,#REF!,6,FALSE)</f>
        <v>#REF!</v>
      </c>
      <c r="H44" s="45" t="e">
        <f>+VLOOKUP($B44,#REF!,7,FALSE)</f>
        <v>#REF!</v>
      </c>
      <c r="I44" s="405"/>
      <c r="J44" s="46">
        <f t="shared" si="0"/>
        <v>0</v>
      </c>
    </row>
    <row r="45" spans="1:11" ht="15.75" thickBot="1">
      <c r="A45" s="394" t="s">
        <v>33</v>
      </c>
      <c r="B45" s="395"/>
      <c r="C45" s="47">
        <f>SUM(C37:C44)</f>
        <v>334</v>
      </c>
      <c r="D45" s="48" t="e">
        <f t="shared" ref="D45:J45" si="8">SUM(D37:D44)</f>
        <v>#REF!</v>
      </c>
      <c r="E45" s="49" t="e">
        <f t="shared" si="8"/>
        <v>#REF!</v>
      </c>
      <c r="F45" s="50" t="e">
        <f>+F37+F39+F41+F43</f>
        <v>#REF!</v>
      </c>
      <c r="G45" s="38" t="e">
        <f t="shared" si="8"/>
        <v>#REF!</v>
      </c>
      <c r="H45" s="54" t="e">
        <f t="shared" si="8"/>
        <v>#REF!</v>
      </c>
      <c r="I45" s="50" t="e">
        <f t="shared" si="8"/>
        <v>#REF!</v>
      </c>
      <c r="J45" s="51">
        <f t="shared" si="8"/>
        <v>0</v>
      </c>
      <c r="K45" s="69"/>
    </row>
    <row r="46" spans="1:11" ht="15.75" thickBot="1">
      <c r="A46" s="396" t="s">
        <v>89</v>
      </c>
      <c r="B46" s="397"/>
      <c r="C46" s="55">
        <f>+C18+C36+C45</f>
        <v>613.80999999999995</v>
      </c>
      <c r="D46" s="56" t="e">
        <f>+D18+D36+D45</f>
        <v>#REF!</v>
      </c>
      <c r="E46" s="57" t="e">
        <f>+E18+E36+E45</f>
        <v>#REF!</v>
      </c>
      <c r="F46" s="57" t="e">
        <f t="shared" ref="F46:J46" si="9">+F18+F36+F45</f>
        <v>#REF!</v>
      </c>
      <c r="G46" s="57" t="e">
        <f t="shared" si="9"/>
        <v>#REF!</v>
      </c>
      <c r="H46" s="57" t="e">
        <f t="shared" si="9"/>
        <v>#REF!</v>
      </c>
      <c r="I46" s="57" t="e">
        <f t="shared" si="9"/>
        <v>#REF!</v>
      </c>
      <c r="J46" s="58">
        <f t="shared" si="9"/>
        <v>0</v>
      </c>
    </row>
    <row r="47" spans="1:11">
      <c r="D47" s="13" t="e">
        <f>+D46-'3er Trimestre'!F57</f>
        <v>#REF!</v>
      </c>
      <c r="E47" s="13" t="e">
        <f>+E46-'3er Trimestre'!G57</f>
        <v>#REF!</v>
      </c>
      <c r="F47" s="13" t="e">
        <f>+F46-'3er Trimestre'!H57</f>
        <v>#REF!</v>
      </c>
      <c r="G47" s="13" t="e">
        <f>+G46-'3er Trimestre'!I57</f>
        <v>#REF!</v>
      </c>
      <c r="H47" s="13" t="e">
        <f>+H46-'3er Trimestre'!J57</f>
        <v>#REF!</v>
      </c>
      <c r="I47" s="13" t="e">
        <f>+I46-'3er Trimestre'!K57</f>
        <v>#REF!</v>
      </c>
      <c r="J47" s="13">
        <f>+J46-'3er Trimestre'!L57</f>
        <v>-492.56920122555493</v>
      </c>
    </row>
    <row r="48" spans="1:11" ht="30.75" customHeight="1">
      <c r="B48" s="11" t="s">
        <v>86</v>
      </c>
      <c r="C48" s="11" t="s">
        <v>87</v>
      </c>
      <c r="D48" s="11" t="s">
        <v>88</v>
      </c>
      <c r="E48" s="11" t="s">
        <v>107</v>
      </c>
    </row>
    <row r="49" spans="2:8">
      <c r="B49" t="s">
        <v>73</v>
      </c>
      <c r="C49" s="12">
        <f>24*D49</f>
        <v>744</v>
      </c>
      <c r="D49" s="12">
        <v>31</v>
      </c>
      <c r="E49" s="13">
        <f>+Ene!M10</f>
        <v>14674.509999999998</v>
      </c>
      <c r="F49" s="13"/>
      <c r="G49" s="18" t="s">
        <v>90</v>
      </c>
      <c r="H49" s="19" t="e">
        <f>SUM(E2:E17)</f>
        <v>#REF!</v>
      </c>
    </row>
    <row r="50" spans="2:8">
      <c r="B50" t="s">
        <v>74</v>
      </c>
      <c r="C50" s="12">
        <f t="shared" ref="C50:C60" si="10">24*D50</f>
        <v>672</v>
      </c>
      <c r="D50" s="12">
        <v>28</v>
      </c>
      <c r="E50" s="13">
        <f>+Feb!M10</f>
        <v>12272.36</v>
      </c>
      <c r="G50" s="18" t="s">
        <v>91</v>
      </c>
      <c r="H50" s="19" t="e">
        <f>+E19+E20</f>
        <v>#REF!</v>
      </c>
    </row>
    <row r="51" spans="2:8">
      <c r="B51" t="s">
        <v>75</v>
      </c>
      <c r="C51" s="12">
        <f t="shared" si="10"/>
        <v>744</v>
      </c>
      <c r="D51" s="12">
        <v>31</v>
      </c>
      <c r="E51" s="13">
        <f>+Mar!M10</f>
        <v>14600.45</v>
      </c>
      <c r="G51" s="18" t="s">
        <v>60</v>
      </c>
      <c r="H51" s="19" t="e">
        <f>+E21</f>
        <v>#REF!</v>
      </c>
    </row>
    <row r="52" spans="2:8">
      <c r="B52" t="s">
        <v>76</v>
      </c>
      <c r="C52" s="12">
        <f t="shared" si="10"/>
        <v>720</v>
      </c>
      <c r="D52" s="12">
        <v>30</v>
      </c>
      <c r="E52" s="13"/>
      <c r="G52" s="18" t="s">
        <v>61</v>
      </c>
      <c r="H52" s="19" t="e">
        <f>+E22</f>
        <v>#REF!</v>
      </c>
    </row>
    <row r="53" spans="2:8">
      <c r="B53" t="s">
        <v>77</v>
      </c>
      <c r="C53" s="12">
        <f t="shared" si="10"/>
        <v>744</v>
      </c>
      <c r="D53" s="12">
        <v>31</v>
      </c>
      <c r="E53" s="13"/>
      <c r="G53" s="18" t="s">
        <v>36</v>
      </c>
      <c r="H53" s="19" t="e">
        <f>+E23</f>
        <v>#REF!</v>
      </c>
    </row>
    <row r="54" spans="2:8">
      <c r="B54" t="s">
        <v>78</v>
      </c>
      <c r="C54" s="12">
        <f t="shared" si="10"/>
        <v>720</v>
      </c>
      <c r="D54" s="12">
        <v>30</v>
      </c>
      <c r="E54" s="13"/>
      <c r="G54" s="18" t="s">
        <v>37</v>
      </c>
      <c r="H54" s="19" t="e">
        <f>+E24</f>
        <v>#REF!</v>
      </c>
    </row>
    <row r="55" spans="2:8">
      <c r="B55" t="s">
        <v>79</v>
      </c>
      <c r="C55" s="12">
        <f t="shared" si="10"/>
        <v>744</v>
      </c>
      <c r="D55" s="12">
        <v>31</v>
      </c>
      <c r="E55" s="13"/>
      <c r="G55" s="18" t="s">
        <v>35</v>
      </c>
      <c r="H55" s="19" t="e">
        <f>+E25</f>
        <v>#REF!</v>
      </c>
    </row>
    <row r="56" spans="2:8">
      <c r="B56" t="s">
        <v>80</v>
      </c>
      <c r="C56" s="12">
        <f t="shared" si="10"/>
        <v>744</v>
      </c>
      <c r="D56" s="12">
        <v>31</v>
      </c>
      <c r="E56" s="13"/>
      <c r="G56" s="18" t="s">
        <v>92</v>
      </c>
      <c r="H56" s="19" t="e">
        <f>+E26+E27</f>
        <v>#REF!</v>
      </c>
    </row>
    <row r="57" spans="2:8">
      <c r="B57" t="s">
        <v>81</v>
      </c>
      <c r="C57" s="12">
        <f t="shared" si="10"/>
        <v>720</v>
      </c>
      <c r="D57" s="12">
        <v>30</v>
      </c>
      <c r="E57" s="13"/>
      <c r="G57" s="18" t="s">
        <v>59</v>
      </c>
      <c r="H57" s="19" t="e">
        <f>+E28</f>
        <v>#REF!</v>
      </c>
    </row>
    <row r="58" spans="2:8">
      <c r="B58" t="s">
        <v>82</v>
      </c>
      <c r="C58" s="12">
        <f t="shared" si="10"/>
        <v>744</v>
      </c>
      <c r="D58" s="12">
        <v>31</v>
      </c>
      <c r="E58" s="13"/>
      <c r="G58" s="18" t="s">
        <v>19</v>
      </c>
      <c r="H58" s="19" t="e">
        <f>+E29</f>
        <v>#REF!</v>
      </c>
    </row>
    <row r="59" spans="2:8">
      <c r="B59" t="s">
        <v>83</v>
      </c>
      <c r="C59" s="12">
        <f t="shared" si="10"/>
        <v>720</v>
      </c>
      <c r="D59" s="12">
        <v>30</v>
      </c>
      <c r="E59" s="13"/>
      <c r="G59" s="18" t="s">
        <v>93</v>
      </c>
      <c r="H59" s="19" t="e">
        <f>+E30+E31</f>
        <v>#REF!</v>
      </c>
    </row>
    <row r="60" spans="2:8">
      <c r="B60" t="s">
        <v>84</v>
      </c>
      <c r="C60" s="12">
        <f t="shared" si="10"/>
        <v>744</v>
      </c>
      <c r="D60" s="12">
        <v>31</v>
      </c>
      <c r="E60" s="13"/>
      <c r="G60" s="18" t="s">
        <v>94</v>
      </c>
      <c r="H60" s="19" t="e">
        <f>+E32+E33</f>
        <v>#REF!</v>
      </c>
    </row>
    <row r="61" spans="2:8">
      <c r="B61" s="14" t="s">
        <v>89</v>
      </c>
      <c r="C61" s="15">
        <f>SUM(C49:C60)</f>
        <v>8760</v>
      </c>
      <c r="D61" s="16">
        <f>SUM(D49:D60)</f>
        <v>365</v>
      </c>
      <c r="E61" s="17">
        <f>SUM(E49:E60)</f>
        <v>41547.32</v>
      </c>
      <c r="G61" s="18" t="s">
        <v>95</v>
      </c>
      <c r="H61" s="19" t="e">
        <f>+E34+E35</f>
        <v>#REF!</v>
      </c>
    </row>
    <row r="62" spans="2:8">
      <c r="G62" s="18" t="s">
        <v>96</v>
      </c>
      <c r="H62" s="19" t="e">
        <f>+E37+E38</f>
        <v>#REF!</v>
      </c>
    </row>
    <row r="63" spans="2:8">
      <c r="B63" s="13">
        <f>COUNTIF(D2:D44,"&gt;2000")-2</f>
        <v>-2</v>
      </c>
      <c r="C63">
        <f>COUNTIF(D2:D44,"&gt;500")</f>
        <v>0</v>
      </c>
      <c r="D63">
        <f>COUNTIF(D2:D44,"&gt;5000")</f>
        <v>0</v>
      </c>
      <c r="E63">
        <f>COUNTIF(D2:D44,"&gt;4000")</f>
        <v>0</v>
      </c>
      <c r="G63" s="18" t="s">
        <v>97</v>
      </c>
      <c r="H63" s="19" t="e">
        <f>+E39+E40</f>
        <v>#REF!</v>
      </c>
    </row>
    <row r="64" spans="2:8">
      <c r="G64" s="18" t="s">
        <v>98</v>
      </c>
      <c r="H64" s="19" t="e">
        <f>+E41+E42</f>
        <v>#REF!</v>
      </c>
    </row>
    <row r="65" spans="2:8">
      <c r="E65" s="70"/>
      <c r="G65" s="18" t="s">
        <v>99</v>
      </c>
      <c r="H65" s="19" t="e">
        <f>+E43+E44</f>
        <v>#REF!</v>
      </c>
    </row>
    <row r="66" spans="2:8">
      <c r="E66" s="13"/>
      <c r="G66" s="18"/>
      <c r="H66" s="19" t="e">
        <f>SUM(H49:H65)</f>
        <v>#REF!</v>
      </c>
    </row>
    <row r="67" spans="2:8">
      <c r="E67" s="13"/>
      <c r="G67" s="18"/>
      <c r="H67" s="19"/>
    </row>
    <row r="68" spans="2:8">
      <c r="B68" t="s">
        <v>2</v>
      </c>
      <c r="C68" t="s">
        <v>174</v>
      </c>
    </row>
    <row r="69" spans="2:8">
      <c r="B69" t="s">
        <v>37</v>
      </c>
      <c r="C69" s="13" t="e">
        <f t="shared" ref="C69:C109" si="11">+VLOOKUP(B69,$B$2:$J$44,3,FALSE)</f>
        <v>#REF!</v>
      </c>
    </row>
    <row r="70" spans="2:8">
      <c r="B70" t="s">
        <v>59</v>
      </c>
      <c r="C70" s="13" t="e">
        <f t="shared" si="11"/>
        <v>#REF!</v>
      </c>
    </row>
    <row r="71" spans="2:8">
      <c r="B71" t="s">
        <v>36</v>
      </c>
      <c r="C71" s="13" t="e">
        <f t="shared" si="11"/>
        <v>#REF!</v>
      </c>
    </row>
    <row r="72" spans="2:8">
      <c r="B72" t="s">
        <v>61</v>
      </c>
      <c r="C72" s="13" t="e">
        <f t="shared" si="11"/>
        <v>#REF!</v>
      </c>
    </row>
    <row r="73" spans="2:8">
      <c r="B73" t="s">
        <v>19</v>
      </c>
      <c r="C73" s="13" t="e">
        <f t="shared" si="11"/>
        <v>#REF!</v>
      </c>
    </row>
    <row r="74" spans="2:8">
      <c r="B74" t="s">
        <v>63</v>
      </c>
      <c r="C74" s="13" t="e">
        <f t="shared" si="11"/>
        <v>#REF!</v>
      </c>
    </row>
    <row r="75" spans="2:8">
      <c r="B75" t="s">
        <v>60</v>
      </c>
      <c r="C75" s="13" t="e">
        <f t="shared" si="11"/>
        <v>#REF!</v>
      </c>
    </row>
    <row r="76" spans="2:8">
      <c r="B76" t="s">
        <v>39</v>
      </c>
      <c r="C76" s="13" t="e">
        <f t="shared" si="11"/>
        <v>#REF!</v>
      </c>
    </row>
    <row r="77" spans="2:8">
      <c r="B77" t="s">
        <v>24</v>
      </c>
      <c r="C77" s="13" t="e">
        <f t="shared" si="11"/>
        <v>#REF!</v>
      </c>
    </row>
    <row r="78" spans="2:8">
      <c r="B78" t="s">
        <v>65</v>
      </c>
      <c r="C78" s="13" t="e">
        <f t="shared" si="11"/>
        <v>#REF!</v>
      </c>
    </row>
    <row r="79" spans="2:8">
      <c r="B79" t="s">
        <v>64</v>
      </c>
      <c r="C79" s="13" t="e">
        <f t="shared" si="11"/>
        <v>#REF!</v>
      </c>
    </row>
    <row r="80" spans="2:8">
      <c r="B80" t="s">
        <v>42</v>
      </c>
      <c r="C80" s="13" t="e">
        <f t="shared" si="11"/>
        <v>#REF!</v>
      </c>
    </row>
    <row r="81" spans="2:3">
      <c r="B81" t="s">
        <v>38</v>
      </c>
      <c r="C81" s="13" t="e">
        <f t="shared" si="11"/>
        <v>#REF!</v>
      </c>
    </row>
    <row r="82" spans="2:3">
      <c r="B82" t="s">
        <v>26</v>
      </c>
      <c r="C82" s="13" t="e">
        <f t="shared" si="11"/>
        <v>#REF!</v>
      </c>
    </row>
    <row r="83" spans="2:3">
      <c r="B83" t="s">
        <v>43</v>
      </c>
      <c r="C83" s="13" t="e">
        <f t="shared" si="11"/>
        <v>#REF!</v>
      </c>
    </row>
    <row r="84" spans="2:3">
      <c r="B84" t="s">
        <v>40</v>
      </c>
      <c r="C84" s="13" t="e">
        <f t="shared" si="11"/>
        <v>#REF!</v>
      </c>
    </row>
    <row r="85" spans="2:3">
      <c r="B85" t="s">
        <v>54</v>
      </c>
      <c r="C85" s="13" t="e">
        <f t="shared" si="11"/>
        <v>#REF!</v>
      </c>
    </row>
    <row r="86" spans="2:3">
      <c r="B86" t="s">
        <v>32</v>
      </c>
      <c r="C86" s="13" t="e">
        <f t="shared" si="11"/>
        <v>#REF!</v>
      </c>
    </row>
    <row r="87" spans="2:3">
      <c r="B87" t="s">
        <v>53</v>
      </c>
      <c r="C87" s="13" t="e">
        <f t="shared" si="11"/>
        <v>#REF!</v>
      </c>
    </row>
    <row r="88" spans="2:3">
      <c r="B88" t="s">
        <v>21</v>
      </c>
      <c r="C88" s="13" t="e">
        <f t="shared" si="11"/>
        <v>#REF!</v>
      </c>
    </row>
    <row r="89" spans="2:3">
      <c r="B89" t="s">
        <v>35</v>
      </c>
      <c r="C89" s="13" t="e">
        <f t="shared" si="11"/>
        <v>#REF!</v>
      </c>
    </row>
    <row r="90" spans="2:3">
      <c r="B90" t="s">
        <v>14</v>
      </c>
      <c r="C90" s="13" t="e">
        <f t="shared" si="11"/>
        <v>#REF!</v>
      </c>
    </row>
    <row r="91" spans="2:3">
      <c r="B91" t="s">
        <v>22</v>
      </c>
      <c r="C91" s="13" t="e">
        <f t="shared" si="11"/>
        <v>#REF!</v>
      </c>
    </row>
    <row r="92" spans="2:3">
      <c r="B92" t="s">
        <v>44</v>
      </c>
      <c r="C92" s="13" t="e">
        <f t="shared" si="11"/>
        <v>#REF!</v>
      </c>
    </row>
    <row r="93" spans="2:3">
      <c r="B93" t="s">
        <v>52</v>
      </c>
      <c r="C93" s="13" t="e">
        <f t="shared" si="11"/>
        <v>#REF!</v>
      </c>
    </row>
    <row r="94" spans="2:3">
      <c r="B94" t="s">
        <v>45</v>
      </c>
      <c r="C94" s="13" t="e">
        <f t="shared" si="11"/>
        <v>#REF!</v>
      </c>
    </row>
    <row r="95" spans="2:3">
      <c r="B95" t="s">
        <v>17</v>
      </c>
      <c r="C95" s="13" t="e">
        <f t="shared" si="11"/>
        <v>#REF!</v>
      </c>
    </row>
    <row r="96" spans="2:3">
      <c r="B96" t="s">
        <v>30</v>
      </c>
      <c r="C96" s="13" t="e">
        <f t="shared" si="11"/>
        <v>#REF!</v>
      </c>
    </row>
    <row r="97" spans="2:3">
      <c r="B97" t="s">
        <v>51</v>
      </c>
      <c r="C97" s="13" t="e">
        <f t="shared" si="11"/>
        <v>#REF!</v>
      </c>
    </row>
    <row r="98" spans="2:3">
      <c r="B98" t="s">
        <v>28</v>
      </c>
      <c r="C98" s="13" t="e">
        <f t="shared" si="11"/>
        <v>#REF!</v>
      </c>
    </row>
    <row r="99" spans="2:3">
      <c r="B99" t="s">
        <v>67</v>
      </c>
      <c r="C99" s="13" t="e">
        <f t="shared" si="11"/>
        <v>#REF!</v>
      </c>
    </row>
    <row r="100" spans="2:3">
      <c r="B100" t="s">
        <v>103</v>
      </c>
      <c r="C100" s="13" t="e">
        <f t="shared" si="11"/>
        <v>#REF!</v>
      </c>
    </row>
    <row r="101" spans="2:3">
      <c r="B101" t="s">
        <v>66</v>
      </c>
      <c r="C101" s="13" t="e">
        <f t="shared" si="11"/>
        <v>#REF!</v>
      </c>
    </row>
    <row r="102" spans="2:3">
      <c r="B102" t="s">
        <v>104</v>
      </c>
      <c r="C102" s="13" t="e">
        <f t="shared" si="11"/>
        <v>#REF!</v>
      </c>
    </row>
    <row r="103" spans="2:3">
      <c r="B103" t="s">
        <v>50</v>
      </c>
      <c r="C103" s="13" t="e">
        <f t="shared" si="11"/>
        <v>#REF!</v>
      </c>
    </row>
    <row r="104" spans="2:3">
      <c r="B104" t="s">
        <v>49</v>
      </c>
      <c r="C104" s="13" t="e">
        <f t="shared" si="11"/>
        <v>#REF!</v>
      </c>
    </row>
    <row r="105" spans="2:3">
      <c r="B105" t="s">
        <v>41</v>
      </c>
      <c r="C105" s="13" t="e">
        <f t="shared" si="11"/>
        <v>#REF!</v>
      </c>
    </row>
    <row r="106" spans="2:3">
      <c r="B106" t="s">
        <v>62</v>
      </c>
      <c r="C106" s="13" t="e">
        <f t="shared" si="11"/>
        <v>#REF!</v>
      </c>
    </row>
    <row r="107" spans="2:3">
      <c r="B107" t="s">
        <v>57</v>
      </c>
      <c r="C107" s="13" t="e">
        <f t="shared" si="11"/>
        <v>#REF!</v>
      </c>
    </row>
    <row r="108" spans="2:3">
      <c r="B108" t="s">
        <v>55</v>
      </c>
      <c r="C108" s="13" t="e">
        <f t="shared" si="11"/>
        <v>#REF!</v>
      </c>
    </row>
    <row r="109" spans="2:3">
      <c r="B109" t="s">
        <v>56</v>
      </c>
      <c r="C109" s="13" t="e">
        <f t="shared" si="11"/>
        <v>#REF!</v>
      </c>
    </row>
  </sheetData>
  <mergeCells count="35">
    <mergeCell ref="I32:I33"/>
    <mergeCell ref="F34:F35"/>
    <mergeCell ref="I34:I35"/>
    <mergeCell ref="I11:I12"/>
    <mergeCell ref="F13:F14"/>
    <mergeCell ref="I13:I14"/>
    <mergeCell ref="F15:F16"/>
    <mergeCell ref="I15:I16"/>
    <mergeCell ref="I43:I44"/>
    <mergeCell ref="A2:A16"/>
    <mergeCell ref="F4:F5"/>
    <mergeCell ref="I4:I5"/>
    <mergeCell ref="F6:F7"/>
    <mergeCell ref="I6:I7"/>
    <mergeCell ref="F11:F12"/>
    <mergeCell ref="A18:B18"/>
    <mergeCell ref="A19:A35"/>
    <mergeCell ref="F19:F20"/>
    <mergeCell ref="I19:I20"/>
    <mergeCell ref="F26:F27"/>
    <mergeCell ref="I26:I27"/>
    <mergeCell ref="F30:F31"/>
    <mergeCell ref="I30:I31"/>
    <mergeCell ref="F32:F33"/>
    <mergeCell ref="I37:I38"/>
    <mergeCell ref="F39:F40"/>
    <mergeCell ref="I39:I40"/>
    <mergeCell ref="F41:F42"/>
    <mergeCell ref="I41:I42"/>
    <mergeCell ref="A45:B45"/>
    <mergeCell ref="A46:B46"/>
    <mergeCell ref="A36:B36"/>
    <mergeCell ref="A37:A44"/>
    <mergeCell ref="F37:F38"/>
    <mergeCell ref="F43:F44"/>
  </mergeCells>
  <pageMargins left="0.7" right="0.7" top="0.75" bottom="0.75" header="0.3" footer="0.3"/>
  <pageSetup scale="58" fitToWidth="2" fitToHeight="0" orientation="portrait" r:id="rId1"/>
  <rowBreaks count="1" manualBreakCount="1">
    <brk id="49" max="23" man="1"/>
  </rowBreaks>
  <colBreaks count="1" manualBreakCount="1">
    <brk id="10" max="109" man="1"/>
  </colBreaks>
  <drawing r:id="rId2"/>
  <tableParts count="2"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68"/>
  <sheetViews>
    <sheetView view="pageBreakPreview" topLeftCell="A10" zoomScale="115" zoomScaleNormal="55" zoomScaleSheetLayoutView="115" workbookViewId="0">
      <selection activeCell="E51" sqref="E51"/>
    </sheetView>
  </sheetViews>
  <sheetFormatPr baseColWidth="10" defaultColWidth="9.140625" defaultRowHeight="15"/>
  <cols>
    <col min="1" max="1" width="9.140625" style="1"/>
    <col min="2" max="2" width="4.140625" style="1" customWidth="1"/>
    <col min="3" max="3" width="4" style="1" bestFit="1" customWidth="1"/>
    <col min="4" max="4" width="7.85546875" style="1" bestFit="1" customWidth="1"/>
    <col min="5" max="5" width="6.140625" style="1" customWidth="1"/>
    <col min="6" max="6" width="10.85546875" style="1" bestFit="1" customWidth="1"/>
    <col min="7" max="7" width="10.85546875" style="1" customWidth="1"/>
    <col min="8" max="8" width="10.85546875" style="1" bestFit="1" customWidth="1"/>
    <col min="9" max="9" width="9.5703125" style="1" bestFit="1" customWidth="1"/>
    <col min="10" max="11" width="11" style="1" bestFit="1" customWidth="1"/>
    <col min="12" max="12" width="8.5703125" style="1" bestFit="1" customWidth="1"/>
    <col min="13" max="13" width="10.7109375" style="1" customWidth="1"/>
    <col min="14" max="15" width="9.140625" style="1"/>
    <col min="16" max="16" width="14.140625" style="1" bestFit="1" customWidth="1"/>
    <col min="17" max="17" width="12" style="1" bestFit="1" customWidth="1"/>
    <col min="18" max="16384" width="9.140625" style="1"/>
  </cols>
  <sheetData>
    <row r="1" spans="2:18" ht="28.5" customHeight="1">
      <c r="B1" s="422" t="s">
        <v>179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265"/>
    </row>
    <row r="2" spans="2:18" ht="81" customHeight="1"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</row>
    <row r="3" spans="2:18" ht="21" thickBot="1">
      <c r="B3" s="421" t="s">
        <v>181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265"/>
    </row>
    <row r="4" spans="2:18" ht="36.75" thickBot="1">
      <c r="B4" s="185" t="s">
        <v>0</v>
      </c>
      <c r="C4" s="181" t="s">
        <v>1</v>
      </c>
      <c r="D4" s="181" t="s">
        <v>2</v>
      </c>
      <c r="E4" s="186" t="s">
        <v>3</v>
      </c>
      <c r="F4" s="186" t="s">
        <v>4</v>
      </c>
      <c r="G4" s="186" t="s">
        <v>5</v>
      </c>
      <c r="H4" s="186" t="s">
        <v>6</v>
      </c>
      <c r="I4" s="186" t="s">
        <v>7</v>
      </c>
      <c r="J4" s="186" t="s">
        <v>8</v>
      </c>
      <c r="K4" s="186" t="s">
        <v>9</v>
      </c>
      <c r="L4" s="186" t="s">
        <v>10</v>
      </c>
      <c r="M4" s="186" t="s">
        <v>11</v>
      </c>
    </row>
    <row r="5" spans="2:18" ht="15" customHeight="1" thickBot="1">
      <c r="B5" s="415" t="s">
        <v>12</v>
      </c>
      <c r="C5" s="423" t="s">
        <v>13</v>
      </c>
      <c r="D5" s="423"/>
      <c r="E5" s="423"/>
      <c r="F5" s="423"/>
      <c r="G5" s="423"/>
      <c r="H5" s="423"/>
      <c r="I5" s="423"/>
      <c r="J5" s="423"/>
      <c r="K5" s="423"/>
      <c r="L5" s="423"/>
      <c r="M5" s="423"/>
    </row>
    <row r="6" spans="2:18" ht="15.75" customHeight="1" thickBot="1">
      <c r="B6" s="415"/>
      <c r="C6" s="414">
        <v>1</v>
      </c>
      <c r="D6" s="167" t="s">
        <v>14</v>
      </c>
      <c r="E6" s="168">
        <v>48</v>
      </c>
      <c r="F6" s="169">
        <f>+Jul!C6+Ago!C6+Sep!C6</f>
        <v>489.87</v>
      </c>
      <c r="G6" s="170">
        <f>+Jul!F6+Ago!F6+Sep!F6</f>
        <v>20384068</v>
      </c>
      <c r="H6" s="409">
        <f>+G6+G7</f>
        <v>39630774</v>
      </c>
      <c r="I6" s="170">
        <f>+Jul!H6+Ago!H6+Sep!H6</f>
        <v>135450</v>
      </c>
      <c r="J6" s="171">
        <f>+Jul!I6+Ago!I6+Sep!I6</f>
        <v>20248618</v>
      </c>
      <c r="K6" s="410">
        <f>+J6+J7</f>
        <v>39495324</v>
      </c>
      <c r="L6" s="172">
        <f t="shared" ref="L6:L15" si="0">IFERROR(+G6/F6/1000,0)</f>
        <v>41.611178475922188</v>
      </c>
      <c r="M6" s="173">
        <f t="shared" ref="M6:M15" si="1">(G6/$G$57)*100</f>
        <v>5.1016772599030897</v>
      </c>
      <c r="N6" s="3"/>
      <c r="P6" s="4" t="s">
        <v>0</v>
      </c>
      <c r="Q6" s="4" t="s">
        <v>15</v>
      </c>
      <c r="R6" s="4" t="s">
        <v>16</v>
      </c>
    </row>
    <row r="7" spans="2:18" ht="15.75" thickBot="1">
      <c r="B7" s="415"/>
      <c r="C7" s="414"/>
      <c r="D7" s="167" t="s">
        <v>17</v>
      </c>
      <c r="E7" s="168">
        <v>48</v>
      </c>
      <c r="F7" s="169">
        <f>+Jul!C7+Ago!C7+Sep!C7</f>
        <v>485.11999999999995</v>
      </c>
      <c r="G7" s="170">
        <f>+Jul!F7+Ago!F7+Sep!F7</f>
        <v>19246706</v>
      </c>
      <c r="H7" s="409"/>
      <c r="I7" s="168">
        <f>+Jul!H7+Ago!H7+Sep!H7</f>
        <v>0</v>
      </c>
      <c r="J7" s="171">
        <f>+Jul!I7+Ago!I7+Sep!I7</f>
        <v>19246706</v>
      </c>
      <c r="K7" s="410"/>
      <c r="L7" s="172">
        <f t="shared" si="0"/>
        <v>39.674113621372037</v>
      </c>
      <c r="M7" s="173">
        <f t="shared" si="1"/>
        <v>4.8170209365589027</v>
      </c>
      <c r="P7" s="5" t="s">
        <v>18</v>
      </c>
      <c r="Q7" s="6">
        <f>+G31/10^6</f>
        <v>185.76941500000001</v>
      </c>
      <c r="R7" s="6">
        <f>+M31</f>
        <v>46.493938309615132</v>
      </c>
    </row>
    <row r="8" spans="2:18" ht="15.75" thickBot="1">
      <c r="B8" s="415"/>
      <c r="C8" s="168">
        <v>2</v>
      </c>
      <c r="D8" s="167" t="s">
        <v>19</v>
      </c>
      <c r="E8" s="168">
        <v>18</v>
      </c>
      <c r="F8" s="169">
        <f>+Jul!C8+Ago!C8+Sep!C8</f>
        <v>2193.29</v>
      </c>
      <c r="G8" s="170">
        <f>+Jul!F8+Ago!F8+Sep!F8</f>
        <v>15287300</v>
      </c>
      <c r="H8" s="171">
        <f>+G8</f>
        <v>15287300</v>
      </c>
      <c r="I8" s="170">
        <f>+Jul!H8+Ago!H8+Sep!H8</f>
        <v>86411</v>
      </c>
      <c r="J8" s="171">
        <f>+Jul!I8+Ago!I8+Sep!I8</f>
        <v>15200889</v>
      </c>
      <c r="K8" s="170">
        <f>+J8</f>
        <v>15200889</v>
      </c>
      <c r="L8" s="172">
        <f t="shared" si="0"/>
        <v>6.9700313228072899</v>
      </c>
      <c r="M8" s="173">
        <f t="shared" si="1"/>
        <v>3.8260699863891987</v>
      </c>
      <c r="P8" s="5" t="s">
        <v>20</v>
      </c>
      <c r="Q8" s="2">
        <f>+G56/10^6</f>
        <v>213.786789</v>
      </c>
      <c r="R8" s="2">
        <f>+M56</f>
        <v>53.506061690384861</v>
      </c>
    </row>
    <row r="9" spans="2:18" ht="15.75" thickBot="1">
      <c r="B9" s="415"/>
      <c r="C9" s="414">
        <v>3</v>
      </c>
      <c r="D9" s="167" t="s">
        <v>21</v>
      </c>
      <c r="E9" s="168">
        <v>26</v>
      </c>
      <c r="F9" s="169">
        <f>+Jul!C9+Ago!C9+Sep!C9</f>
        <v>727.1</v>
      </c>
      <c r="G9" s="170">
        <f>+Jul!F9+Ago!F9+Sep!F9</f>
        <v>14582911</v>
      </c>
      <c r="H9" s="409">
        <f>+G9+G10</f>
        <v>29802332</v>
      </c>
      <c r="I9" s="170">
        <f>+Jul!H9+Ago!H9+Sep!H9</f>
        <v>131982</v>
      </c>
      <c r="J9" s="171">
        <f>+Jul!I9+Ago!I9+Sep!I9</f>
        <v>14450929</v>
      </c>
      <c r="K9" s="410">
        <f>+J9+J10</f>
        <v>29670350</v>
      </c>
      <c r="L9" s="172">
        <f t="shared" si="0"/>
        <v>20.056265988172193</v>
      </c>
      <c r="M9" s="173">
        <f t="shared" si="1"/>
        <v>3.6497771412404347</v>
      </c>
      <c r="N9" s="3"/>
    </row>
    <row r="10" spans="2:18" ht="15.75" thickBot="1">
      <c r="B10" s="415"/>
      <c r="C10" s="414"/>
      <c r="D10" s="167" t="s">
        <v>22</v>
      </c>
      <c r="E10" s="168">
        <v>26</v>
      </c>
      <c r="F10" s="169">
        <f>+Jul!C10+Ago!C10+Sep!C10</f>
        <v>756.23</v>
      </c>
      <c r="G10" s="170">
        <f>+Jul!F10+Ago!F10+Sep!F10</f>
        <v>15219421</v>
      </c>
      <c r="H10" s="409"/>
      <c r="I10" s="168">
        <f>+Jul!H10+Ago!H10+Sep!H10</f>
        <v>0</v>
      </c>
      <c r="J10" s="171">
        <f>+Jul!I10+Ago!I10+Sep!I10</f>
        <v>15219421</v>
      </c>
      <c r="K10" s="410"/>
      <c r="L10" s="172">
        <f t="shared" si="0"/>
        <v>20.125386456501328</v>
      </c>
      <c r="M10" s="173">
        <f t="shared" si="1"/>
        <v>3.8090813877088494</v>
      </c>
      <c r="P10" s="4" t="s">
        <v>23</v>
      </c>
      <c r="Q10" s="4" t="s">
        <v>15</v>
      </c>
      <c r="R10" s="4" t="s">
        <v>16</v>
      </c>
    </row>
    <row r="11" spans="2:18" ht="15.75" thickBot="1">
      <c r="B11" s="415"/>
      <c r="C11" s="414">
        <v>4</v>
      </c>
      <c r="D11" s="167" t="s">
        <v>24</v>
      </c>
      <c r="E11" s="168">
        <v>1.6</v>
      </c>
      <c r="F11" s="169">
        <f>+Jul!C11+Ago!C11+Sep!C11</f>
        <v>2023.17</v>
      </c>
      <c r="G11" s="170">
        <f>+Jul!F11+Ago!F11+Sep!F11</f>
        <v>1828038</v>
      </c>
      <c r="H11" s="409">
        <f t="shared" ref="H11" si="2">+G11+G12</f>
        <v>3004030</v>
      </c>
      <c r="I11" s="170">
        <f>+Jul!H11+Ago!H11+Sep!H11</f>
        <v>34390</v>
      </c>
      <c r="J11" s="171">
        <f>+Jul!I11+Ago!I11+Sep!I11</f>
        <v>1793648</v>
      </c>
      <c r="K11" s="410">
        <f t="shared" ref="K11" si="3">+J11+J12</f>
        <v>2969640</v>
      </c>
      <c r="L11" s="172">
        <f t="shared" si="0"/>
        <v>0.9035513575230949</v>
      </c>
      <c r="M11" s="173">
        <f t="shared" si="1"/>
        <v>0.45751711065910516</v>
      </c>
      <c r="P11" s="5" t="s">
        <v>25</v>
      </c>
      <c r="Q11" s="6">
        <f>+G16/10^6</f>
        <v>89.606854999999996</v>
      </c>
      <c r="R11" s="6">
        <f>+M16</f>
        <v>22.426595833811653</v>
      </c>
    </row>
    <row r="12" spans="2:18" ht="15.75" thickBot="1">
      <c r="B12" s="415"/>
      <c r="C12" s="414"/>
      <c r="D12" s="167" t="s">
        <v>26</v>
      </c>
      <c r="E12" s="168">
        <v>1.6</v>
      </c>
      <c r="F12" s="169">
        <f>+Jul!C12+Ago!C12+Sep!C12</f>
        <v>1442.91</v>
      </c>
      <c r="G12" s="170">
        <f>+Jul!F12+Ago!F12+Sep!F12</f>
        <v>1175992</v>
      </c>
      <c r="H12" s="409"/>
      <c r="I12" s="168">
        <f>+Jul!H12+Ago!H12+Sep!H12</f>
        <v>0</v>
      </c>
      <c r="J12" s="171">
        <f>+Jul!I12+Ago!I12+Sep!I12</f>
        <v>1175992</v>
      </c>
      <c r="K12" s="410"/>
      <c r="L12" s="172">
        <f t="shared" si="0"/>
        <v>0.81501410344373515</v>
      </c>
      <c r="M12" s="173">
        <f t="shared" si="1"/>
        <v>0.29432455014514053</v>
      </c>
      <c r="P12" s="5" t="s">
        <v>27</v>
      </c>
      <c r="Q12" s="2">
        <f>+G30/10^6</f>
        <v>96.162559999999999</v>
      </c>
      <c r="R12" s="2">
        <f>+M30</f>
        <v>24.067342475803482</v>
      </c>
    </row>
    <row r="13" spans="2:18" ht="15.75" thickBot="1">
      <c r="B13" s="415"/>
      <c r="C13" s="414">
        <v>5</v>
      </c>
      <c r="D13" s="167" t="s">
        <v>28</v>
      </c>
      <c r="E13" s="168">
        <v>0.6</v>
      </c>
      <c r="F13" s="169">
        <f>+Jul!C13+Ago!C13+Sep!C13</f>
        <v>25.95</v>
      </c>
      <c r="G13" s="170">
        <f>+Jul!F13+Ago!F13+Sep!F13</f>
        <v>5219</v>
      </c>
      <c r="H13" s="409">
        <f t="shared" ref="H13" si="4">+G13+G14</f>
        <v>124627</v>
      </c>
      <c r="I13" s="170">
        <f>+Jul!H13+Ago!H13+Sep!H13</f>
        <v>13349</v>
      </c>
      <c r="J13" s="171">
        <f>+Jul!I13+Ago!I13+Sep!I13</f>
        <v>-8130</v>
      </c>
      <c r="K13" s="410">
        <f t="shared" ref="K13" si="5">+J13+J14</f>
        <v>111278</v>
      </c>
      <c r="L13" s="172">
        <f t="shared" si="0"/>
        <v>0.20111753371868979</v>
      </c>
      <c r="M13" s="173">
        <f t="shared" si="1"/>
        <v>1.3061992149670137E-3</v>
      </c>
      <c r="P13" s="5" t="s">
        <v>29</v>
      </c>
      <c r="Q13" s="6">
        <f>+G42/10^6</f>
        <v>139.09814399999999</v>
      </c>
      <c r="R13" s="6">
        <f>+M42</f>
        <v>34.813160853835718</v>
      </c>
    </row>
    <row r="14" spans="2:18" ht="15.75" thickBot="1">
      <c r="B14" s="415"/>
      <c r="C14" s="414"/>
      <c r="D14" s="167" t="s">
        <v>30</v>
      </c>
      <c r="E14" s="168">
        <v>0.6</v>
      </c>
      <c r="F14" s="169">
        <f>+Jul!C14+Ago!C14+Sep!C14</f>
        <v>725.41</v>
      </c>
      <c r="G14" s="170">
        <f>+Jul!F14+Ago!F14+Sep!F14</f>
        <v>119408</v>
      </c>
      <c r="H14" s="409"/>
      <c r="I14" s="168">
        <f>+Jul!H14+Ago!H14+Sep!H14</f>
        <v>0</v>
      </c>
      <c r="J14" s="171">
        <f>+Jul!I14+Ago!I14+Sep!I14</f>
        <v>119408</v>
      </c>
      <c r="K14" s="410"/>
      <c r="L14" s="172">
        <f t="shared" si="0"/>
        <v>0.1646076012186212</v>
      </c>
      <c r="M14" s="173">
        <f t="shared" si="1"/>
        <v>2.9885157283154086E-2</v>
      </c>
      <c r="P14" s="5" t="s">
        <v>31</v>
      </c>
      <c r="Q14" s="2">
        <f>+G55/10^6</f>
        <v>74.688644999999994</v>
      </c>
      <c r="R14" s="2">
        <f>+M55</f>
        <v>18.692900836549143</v>
      </c>
    </row>
    <row r="15" spans="2:18" ht="15.75" thickBot="1">
      <c r="B15" s="415"/>
      <c r="C15" s="168">
        <v>6</v>
      </c>
      <c r="D15" s="167" t="s">
        <v>32</v>
      </c>
      <c r="E15" s="168">
        <v>2.8</v>
      </c>
      <c r="F15" s="169">
        <f>+Jul!C15+Ago!C15+Sep!C15</f>
        <v>1457.14</v>
      </c>
      <c r="G15" s="170">
        <f>+Jul!F15+Ago!F15+Sep!F15</f>
        <v>1757792</v>
      </c>
      <c r="H15" s="171">
        <f>+G15</f>
        <v>1757792</v>
      </c>
      <c r="I15" s="170">
        <f>+Jul!H15+Ago!H15+Sep!H15</f>
        <v>42137</v>
      </c>
      <c r="J15" s="171">
        <f>+Jul!I15+Ago!I15+Sep!I15</f>
        <v>1715655</v>
      </c>
      <c r="K15" s="170">
        <f>+J15</f>
        <v>1715655</v>
      </c>
      <c r="L15" s="172">
        <f t="shared" si="0"/>
        <v>1.2063302084906047</v>
      </c>
      <c r="M15" s="173">
        <f t="shared" si="1"/>
        <v>0.43993610470881339</v>
      </c>
    </row>
    <row r="16" spans="2:18" s="7" customFormat="1" ht="15.75" thickBot="1">
      <c r="B16" s="415"/>
      <c r="C16" s="419" t="s">
        <v>33</v>
      </c>
      <c r="D16" s="420"/>
      <c r="E16" s="174">
        <f>SUM(E6:E15)</f>
        <v>173.2</v>
      </c>
      <c r="F16" s="175">
        <f t="shared" ref="F16:K16" si="6">SUM(F6:F15)</f>
        <v>10326.189999999999</v>
      </c>
      <c r="G16" s="176">
        <f t="shared" si="6"/>
        <v>89606855</v>
      </c>
      <c r="H16" s="177">
        <f t="shared" si="6"/>
        <v>89606855</v>
      </c>
      <c r="I16" s="176">
        <f t="shared" si="6"/>
        <v>443719</v>
      </c>
      <c r="J16" s="177">
        <f t="shared" si="6"/>
        <v>89163136</v>
      </c>
      <c r="K16" s="176">
        <f t="shared" si="6"/>
        <v>89163136</v>
      </c>
      <c r="L16" s="178">
        <f>SUM(L6:L15)</f>
        <v>131.7275966691698</v>
      </c>
      <c r="M16" s="179">
        <f>SUM(M6:M15)</f>
        <v>22.426595833811653</v>
      </c>
      <c r="P16" s="7" t="s">
        <v>25</v>
      </c>
      <c r="Q16" s="208">
        <f>+H16/10^6</f>
        <v>89.606854999999996</v>
      </c>
      <c r="R16" s="208">
        <f>+M16</f>
        <v>22.426595833811653</v>
      </c>
    </row>
    <row r="17" spans="2:18" ht="15.75" thickBot="1">
      <c r="B17" s="415"/>
      <c r="C17" s="416" t="s">
        <v>34</v>
      </c>
      <c r="D17" s="417"/>
      <c r="E17" s="417"/>
      <c r="F17" s="417"/>
      <c r="G17" s="417"/>
      <c r="H17" s="417"/>
      <c r="I17" s="417"/>
      <c r="J17" s="417"/>
      <c r="K17" s="417"/>
      <c r="L17" s="417"/>
      <c r="M17" s="418"/>
      <c r="P17" s="1" t="s">
        <v>98</v>
      </c>
      <c r="Q17" s="3">
        <f>+K6/10^6</f>
        <v>39.495323999999997</v>
      </c>
      <c r="R17" s="3">
        <f>+M6+M7</f>
        <v>9.9186981964619925</v>
      </c>
    </row>
    <row r="18" spans="2:18" ht="15.75" thickBot="1">
      <c r="B18" s="415"/>
      <c r="C18" s="168">
        <v>7</v>
      </c>
      <c r="D18" s="167" t="s">
        <v>35</v>
      </c>
      <c r="E18" s="168">
        <v>10.1</v>
      </c>
      <c r="F18" s="169">
        <f>+Jul!C18+Ago!C18+Sep!C18</f>
        <v>793.78</v>
      </c>
      <c r="G18" s="170">
        <f>+Jul!F18+Ago!F18+Sep!F18</f>
        <v>5710000</v>
      </c>
      <c r="H18" s="171">
        <f t="shared" ref="H18" si="7">+G18</f>
        <v>5710000</v>
      </c>
      <c r="I18" s="170">
        <f>+Jul!H18+Ago!H18+Sep!H18</f>
        <v>55488</v>
      </c>
      <c r="J18" s="171">
        <f>+Jul!I18+Ago!I18+Sep!I18</f>
        <v>5654512</v>
      </c>
      <c r="K18" s="170">
        <f>+J18</f>
        <v>5654512</v>
      </c>
      <c r="L18" s="172">
        <f t="shared" ref="L18:L29" si="8">IFERROR(+G18/F18/1000,0)</f>
        <v>7.1934289097734894</v>
      </c>
      <c r="M18" s="173">
        <f>(G18/$G$57)*100</f>
        <v>1.4290855561336748</v>
      </c>
      <c r="P18" s="1" t="s">
        <v>94</v>
      </c>
      <c r="Q18" s="3">
        <f>+K9/10^6</f>
        <v>29.670349999999999</v>
      </c>
      <c r="R18" s="3">
        <f>+M9+M10</f>
        <v>7.4588585289492837</v>
      </c>
    </row>
    <row r="19" spans="2:18" ht="15.75" thickBot="1">
      <c r="B19" s="415"/>
      <c r="C19" s="411">
        <v>8</v>
      </c>
      <c r="D19" s="167" t="s">
        <v>184</v>
      </c>
      <c r="E19" s="168">
        <v>8</v>
      </c>
      <c r="F19" s="169">
        <f>+Jul!C19+Ago!C19+Sep!C19</f>
        <v>2003.51</v>
      </c>
      <c r="G19" s="170">
        <f>+Jul!F19+Ago!F19+Sep!F19</f>
        <v>13783600</v>
      </c>
      <c r="H19" s="409">
        <f t="shared" ref="H19" si="9">+G19+G20</f>
        <v>22251116</v>
      </c>
      <c r="I19" s="170">
        <f>+Jul!H19+Ago!H19+Sep!H19</f>
        <v>96731</v>
      </c>
      <c r="J19" s="171">
        <f>+Jul!I19+Ago!I19+Sep!I19</f>
        <v>13686869</v>
      </c>
      <c r="K19" s="410">
        <f t="shared" ref="K19" si="10">+J19+J20</f>
        <v>22154385</v>
      </c>
      <c r="L19" s="172">
        <f t="shared" si="8"/>
        <v>6.8797260807283216</v>
      </c>
      <c r="M19" s="173">
        <f>(G19/$G$57)*100</f>
        <v>3.4497274380952923</v>
      </c>
      <c r="P19" s="7" t="s">
        <v>27</v>
      </c>
      <c r="Q19" s="208">
        <f>+H30/10^6</f>
        <v>96.162559999999999</v>
      </c>
      <c r="R19" s="208">
        <f>+M30</f>
        <v>24.067342475803482</v>
      </c>
    </row>
    <row r="20" spans="2:18" ht="15.75" thickBot="1">
      <c r="B20" s="415"/>
      <c r="C20" s="412"/>
      <c r="D20" s="167" t="s">
        <v>180</v>
      </c>
      <c r="E20" s="168">
        <v>10.76</v>
      </c>
      <c r="F20" s="169">
        <f>+Jul!C20+Ago!C20+Sep!C20</f>
        <v>1696.2100000000003</v>
      </c>
      <c r="G20" s="170">
        <f>+Jul!F20+Ago!F20+Sep!F20</f>
        <v>8467516</v>
      </c>
      <c r="H20" s="409"/>
      <c r="I20" s="170">
        <f>+Jul!H20+Ago!H20+Sep!H20</f>
        <v>0</v>
      </c>
      <c r="J20" s="171">
        <f>+Jul!I20+Ago!I20+Sep!I20</f>
        <v>8467516</v>
      </c>
      <c r="K20" s="410"/>
      <c r="L20" s="172">
        <f t="shared" ref="L20" si="11">IFERROR(+G20/F20/1000,0)</f>
        <v>4.9920210351312626</v>
      </c>
      <c r="M20" s="173">
        <f>(G20/$G$57)*100</f>
        <v>2.119230264786478</v>
      </c>
      <c r="P20" s="7"/>
      <c r="Q20" s="208"/>
      <c r="R20" s="208"/>
    </row>
    <row r="21" spans="2:18" ht="15.75" thickBot="1">
      <c r="B21" s="415"/>
      <c r="C21" s="168">
        <v>9</v>
      </c>
      <c r="D21" s="167" t="s">
        <v>37</v>
      </c>
      <c r="E21" s="168">
        <v>8.4</v>
      </c>
      <c r="F21" s="169">
        <f>+Jul!C21+Ago!C21+Sep!C21</f>
        <v>0</v>
      </c>
      <c r="G21" s="170">
        <f>+Jul!F21+Ago!F21+Sep!F21</f>
        <v>0</v>
      </c>
      <c r="H21" s="171">
        <f>+G21</f>
        <v>0</v>
      </c>
      <c r="I21" s="170">
        <f>+Jul!H21+Ago!H21+Sep!H21</f>
        <v>29020</v>
      </c>
      <c r="J21" s="171">
        <f>+Jul!I21+Ago!I21+Sep!I21</f>
        <v>0</v>
      </c>
      <c r="K21" s="170">
        <f>+J21</f>
        <v>0</v>
      </c>
      <c r="L21" s="172">
        <f t="shared" si="8"/>
        <v>0</v>
      </c>
      <c r="M21" s="173">
        <f t="shared" ref="M21:M29" si="12">(G21/$G$57)*100</f>
        <v>0</v>
      </c>
      <c r="P21" s="1" t="s">
        <v>93</v>
      </c>
      <c r="Q21" s="3">
        <f>+K28/10^6</f>
        <v>29.220517000000001</v>
      </c>
      <c r="R21" s="3">
        <f>+M28+M29</f>
        <v>7.3683501107643927</v>
      </c>
    </row>
    <row r="22" spans="2:18" ht="15.75" thickBot="1">
      <c r="B22" s="415"/>
      <c r="C22" s="411">
        <f>+C21+1</f>
        <v>10</v>
      </c>
      <c r="D22" s="167" t="s">
        <v>38</v>
      </c>
      <c r="E22" s="168">
        <v>12.5</v>
      </c>
      <c r="F22" s="169">
        <f>+Jul!C22+Ago!C22+Sep!C22</f>
        <v>1608.1200000000001</v>
      </c>
      <c r="G22" s="170">
        <f>+Jul!F22+Ago!F22+Sep!F22</f>
        <v>19142000</v>
      </c>
      <c r="H22" s="409">
        <f t="shared" ref="H22" si="13">+G22+G23</f>
        <v>37418000</v>
      </c>
      <c r="I22" s="170">
        <f>+Jul!H22+Ago!H22+Sep!H22</f>
        <v>212790</v>
      </c>
      <c r="J22" s="171">
        <f>+Jul!I22+Ago!I22+Sep!I22</f>
        <v>18929210</v>
      </c>
      <c r="K22" s="410">
        <f t="shared" ref="K22" si="14">+J22+J23</f>
        <v>37205210</v>
      </c>
      <c r="L22" s="172">
        <f t="shared" si="8"/>
        <v>11.903340546725369</v>
      </c>
      <c r="M22" s="173">
        <f t="shared" si="12"/>
        <v>4.7908153617356923</v>
      </c>
      <c r="P22" s="1" t="s">
        <v>92</v>
      </c>
      <c r="Q22" s="3">
        <f>+K22/10^6</f>
        <v>37.205210000000001</v>
      </c>
      <c r="R22" s="1">
        <v>7.63</v>
      </c>
    </row>
    <row r="23" spans="2:18" ht="15.75" thickBot="1">
      <c r="B23" s="415"/>
      <c r="C23" s="412"/>
      <c r="D23" s="167" t="s">
        <v>39</v>
      </c>
      <c r="E23" s="168">
        <v>12.5</v>
      </c>
      <c r="F23" s="169">
        <f>+Jul!C23+Ago!C23+Sep!C23</f>
        <v>1520.9599999999998</v>
      </c>
      <c r="G23" s="170">
        <f>+Jul!F23+Ago!F23+Sep!F23</f>
        <v>18276000</v>
      </c>
      <c r="H23" s="409"/>
      <c r="I23" s="170">
        <f>+Jul!H23+Ago!H23+Sep!H23</f>
        <v>0</v>
      </c>
      <c r="J23" s="171">
        <f>+Jul!I23+Ago!I23+Sep!I23</f>
        <v>18276000</v>
      </c>
      <c r="K23" s="410"/>
      <c r="L23" s="172">
        <f t="shared" si="8"/>
        <v>12.016095097832949</v>
      </c>
      <c r="M23" s="173">
        <f t="shared" si="12"/>
        <v>4.5740748903500945</v>
      </c>
      <c r="P23" s="7" t="s">
        <v>29</v>
      </c>
      <c r="Q23" s="208">
        <f>+H42/10^6</f>
        <v>139.09814399999999</v>
      </c>
      <c r="R23" s="208">
        <f>+M42</f>
        <v>34.813160853835718</v>
      </c>
    </row>
    <row r="24" spans="2:18" ht="15.75" thickBot="1">
      <c r="B24" s="415"/>
      <c r="C24" s="168">
        <v>11</v>
      </c>
      <c r="D24" s="167" t="s">
        <v>40</v>
      </c>
      <c r="E24" s="168">
        <v>0.62</v>
      </c>
      <c r="F24" s="169">
        <f>+Jul!C24+Ago!C24+Sep!C24</f>
        <v>870.83999999999992</v>
      </c>
      <c r="G24" s="170">
        <f>+Jul!F24+Ago!F24+Sep!F24</f>
        <v>345881</v>
      </c>
      <c r="H24" s="171">
        <f>+G24</f>
        <v>345881</v>
      </c>
      <c r="I24" s="170">
        <f>+Jul!H24+Ago!H24+Sep!H24</f>
        <v>8891</v>
      </c>
      <c r="J24" s="171">
        <f>+Jul!I24+Ago!I24+Sep!I24</f>
        <v>336990</v>
      </c>
      <c r="K24" s="170">
        <f>+J24</f>
        <v>336990</v>
      </c>
      <c r="L24" s="172">
        <f t="shared" si="8"/>
        <v>0.39718088282577746</v>
      </c>
      <c r="M24" s="173">
        <f t="shared" si="12"/>
        <v>8.6566294438016028E-2</v>
      </c>
      <c r="P24" s="1" t="s">
        <v>99</v>
      </c>
      <c r="Q24" s="3">
        <f>+K35/10^6</f>
        <v>53.847127999999998</v>
      </c>
      <c r="R24" s="3">
        <f>+M35+M36</f>
        <v>13.61815620813136</v>
      </c>
    </row>
    <row r="25" spans="2:18" ht="15.75" thickBot="1">
      <c r="B25" s="415"/>
      <c r="C25" s="411">
        <v>12</v>
      </c>
      <c r="D25" s="167" t="s">
        <v>41</v>
      </c>
      <c r="E25" s="168">
        <v>0.35</v>
      </c>
      <c r="F25" s="169">
        <f>+Jul!C25+Ago!C25+Sep!C25</f>
        <v>660.87999999999988</v>
      </c>
      <c r="G25" s="168">
        <f>+Jul!F25+Ago!F25+Sep!F25</f>
        <v>140725</v>
      </c>
      <c r="H25" s="409">
        <f t="shared" ref="H25" si="15">+G25+G26</f>
        <v>433449</v>
      </c>
      <c r="I25" s="170">
        <f>+Jul!H25+Ago!H25+Sep!H25</f>
        <v>7822</v>
      </c>
      <c r="J25" s="180">
        <f>+Jul!I25+Ago!I25+Sep!I25</f>
        <v>140725</v>
      </c>
      <c r="K25" s="410">
        <f t="shared" ref="K25" si="16">+J25+J26</f>
        <v>425627</v>
      </c>
      <c r="L25" s="172">
        <f t="shared" si="8"/>
        <v>0.21293578259290646</v>
      </c>
      <c r="M25" s="173">
        <f t="shared" si="12"/>
        <v>3.5220326600159613E-2</v>
      </c>
      <c r="P25" s="1" t="s">
        <v>96</v>
      </c>
      <c r="Q25" s="3">
        <f>+K37/10^6</f>
        <v>61.198399000000002</v>
      </c>
      <c r="R25" s="3">
        <f>+M37+M38</f>
        <v>15.390099411395951</v>
      </c>
    </row>
    <row r="26" spans="2:18" ht="15.75" thickBot="1">
      <c r="B26" s="415"/>
      <c r="C26" s="412"/>
      <c r="D26" s="167" t="s">
        <v>42</v>
      </c>
      <c r="E26" s="168">
        <v>0.35</v>
      </c>
      <c r="F26" s="169">
        <f>+Jul!C26+Ago!C26+Sep!C26</f>
        <v>1412.4899999999998</v>
      </c>
      <c r="G26" s="170">
        <f>+Jul!F26+Ago!F26+Sep!F26</f>
        <v>292724</v>
      </c>
      <c r="H26" s="409"/>
      <c r="I26" s="168">
        <f>+Jul!H26+Ago!H26+Sep!H26</f>
        <v>0</v>
      </c>
      <c r="J26" s="171">
        <f>+Jul!I26+Ago!I26+Sep!I26</f>
        <v>284902</v>
      </c>
      <c r="K26" s="410"/>
      <c r="L26" s="172">
        <f t="shared" si="8"/>
        <v>0.2072396972721931</v>
      </c>
      <c r="M26" s="173">
        <f t="shared" si="12"/>
        <v>7.3262283771221334E-2</v>
      </c>
      <c r="P26" s="7" t="s">
        <v>31</v>
      </c>
      <c r="Q26" s="208">
        <f>+H55/10^6</f>
        <v>74.688644999999994</v>
      </c>
      <c r="R26" s="208">
        <f>+M55</f>
        <v>18.692900836549143</v>
      </c>
    </row>
    <row r="27" spans="2:18" ht="15.75" thickBot="1">
      <c r="B27" s="415"/>
      <c r="C27" s="168">
        <v>13</v>
      </c>
      <c r="D27" s="167" t="s">
        <v>43</v>
      </c>
      <c r="E27" s="168">
        <v>0.9</v>
      </c>
      <c r="F27" s="169">
        <f>+Jul!C27+Ago!C27+Sep!C27</f>
        <v>1211.24</v>
      </c>
      <c r="G27" s="170">
        <f>+Jul!F27+Ago!F27+Sep!F27</f>
        <v>563414</v>
      </c>
      <c r="H27" s="171">
        <f>+G27</f>
        <v>563414</v>
      </c>
      <c r="I27" s="170">
        <f>+Jul!H27+Ago!H27+Sep!H27</f>
        <v>10775</v>
      </c>
      <c r="J27" s="171">
        <f>+Jul!I27+Ago!I27+Sep!I27</f>
        <v>552639</v>
      </c>
      <c r="K27" s="170">
        <f>+J27</f>
        <v>552639</v>
      </c>
      <c r="L27" s="172">
        <f t="shared" si="8"/>
        <v>0.46515471747960768</v>
      </c>
      <c r="M27" s="173">
        <f t="shared" si="12"/>
        <v>0.14100994912845854</v>
      </c>
      <c r="P27" s="1" t="s">
        <v>97</v>
      </c>
      <c r="Q27" s="3">
        <f>+K53/10^6</f>
        <v>29.065577000000001</v>
      </c>
      <c r="R27" s="3">
        <f>+M54+M53</f>
        <v>7.3506034209895539</v>
      </c>
    </row>
    <row r="28" spans="2:18" ht="15.75" thickBot="1">
      <c r="B28" s="415"/>
      <c r="C28" s="414">
        <v>14</v>
      </c>
      <c r="D28" s="167" t="s">
        <v>44</v>
      </c>
      <c r="E28" s="168">
        <v>25</v>
      </c>
      <c r="F28" s="169">
        <f>+Jul!C28+Ago!C28+Sep!C28</f>
        <v>1147.53</v>
      </c>
      <c r="G28" s="170">
        <f>+Jul!F28+Ago!F28+Sep!F28</f>
        <v>19593000</v>
      </c>
      <c r="H28" s="409">
        <f t="shared" ref="H28" si="17">+G28+G29</f>
        <v>29440700</v>
      </c>
      <c r="I28" s="170">
        <f>+Jul!H28+Ago!H28+Sep!H28</f>
        <v>220183</v>
      </c>
      <c r="J28" s="171">
        <f>+Jul!I28+Ago!I28+Sep!I28</f>
        <v>19372817</v>
      </c>
      <c r="K28" s="410">
        <f t="shared" ref="K28" si="18">+J28+J29</f>
        <v>29220517</v>
      </c>
      <c r="L28" s="172">
        <f t="shared" si="8"/>
        <v>17.07406342317848</v>
      </c>
      <c r="M28" s="173">
        <f t="shared" si="12"/>
        <v>4.9036905956790005</v>
      </c>
      <c r="P28" s="1" t="s">
        <v>59</v>
      </c>
      <c r="Q28" s="3">
        <f>+K44/10^6</f>
        <v>16.925598000000001</v>
      </c>
      <c r="R28" s="3">
        <f>+M44</f>
        <v>4.2520415976321573</v>
      </c>
    </row>
    <row r="29" spans="2:18" ht="15.75" thickBot="1">
      <c r="B29" s="415"/>
      <c r="C29" s="414">
        <f t="shared" ref="C29" si="19">+C28+1</f>
        <v>15</v>
      </c>
      <c r="D29" s="167" t="s">
        <v>45</v>
      </c>
      <c r="E29" s="168">
        <v>25</v>
      </c>
      <c r="F29" s="169">
        <f>+Jul!C29+Ago!C29+Sep!C29</f>
        <v>464.65</v>
      </c>
      <c r="G29" s="170">
        <f>+Jul!F29+Ago!F29+Sep!F29</f>
        <v>9847700</v>
      </c>
      <c r="H29" s="409"/>
      <c r="I29" s="168">
        <f>+Jul!H29+Ago!H29+Sep!H29</f>
        <v>0</v>
      </c>
      <c r="J29" s="171">
        <f>+Jul!I29+Ago!I29+Sep!I29</f>
        <v>9847700</v>
      </c>
      <c r="K29" s="410"/>
      <c r="L29" s="172">
        <f t="shared" si="8"/>
        <v>21.193801786290759</v>
      </c>
      <c r="M29" s="173">
        <f t="shared" si="12"/>
        <v>2.4646595150853918</v>
      </c>
    </row>
    <row r="30" spans="2:18" s="7" customFormat="1" ht="15.75" thickBot="1">
      <c r="B30" s="415"/>
      <c r="C30" s="187" t="s">
        <v>33</v>
      </c>
      <c r="D30" s="188"/>
      <c r="E30" s="174">
        <f>SUM(E18:E29)</f>
        <v>114.48</v>
      </c>
      <c r="F30" s="175">
        <f t="shared" ref="F30:K30" si="20">SUM(F18:F29)</f>
        <v>13390.21</v>
      </c>
      <c r="G30" s="176">
        <f t="shared" si="20"/>
        <v>96162560</v>
      </c>
      <c r="H30" s="177">
        <f t="shared" si="20"/>
        <v>96162560</v>
      </c>
      <c r="I30" s="176">
        <f>SUM(I18:I29)</f>
        <v>641700</v>
      </c>
      <c r="J30" s="177">
        <f t="shared" si="20"/>
        <v>95549880</v>
      </c>
      <c r="K30" s="176">
        <f t="shared" si="20"/>
        <v>95549880</v>
      </c>
      <c r="L30" s="178">
        <f>SUM(L18:L29)</f>
        <v>82.534987959831113</v>
      </c>
      <c r="M30" s="179">
        <f>SUM(M18:M29)</f>
        <v>24.067342475803482</v>
      </c>
    </row>
    <row r="31" spans="2:18" s="7" customFormat="1" ht="15.75" thickBot="1">
      <c r="B31" s="415"/>
      <c r="C31" s="187" t="s">
        <v>46</v>
      </c>
      <c r="D31" s="188"/>
      <c r="E31" s="174">
        <f>+E16+E30</f>
        <v>287.68</v>
      </c>
      <c r="F31" s="175">
        <f t="shared" ref="F31:K31" si="21">+F16+F30</f>
        <v>23716.399999999998</v>
      </c>
      <c r="G31" s="176">
        <f t="shared" si="21"/>
        <v>185769415</v>
      </c>
      <c r="H31" s="177">
        <f t="shared" si="21"/>
        <v>185769415</v>
      </c>
      <c r="I31" s="176">
        <f t="shared" si="21"/>
        <v>1085419</v>
      </c>
      <c r="J31" s="177">
        <f t="shared" si="21"/>
        <v>184713016</v>
      </c>
      <c r="K31" s="176">
        <f t="shared" si="21"/>
        <v>184713016</v>
      </c>
      <c r="L31" s="178">
        <f>+L16+L30</f>
        <v>214.26258462900091</v>
      </c>
      <c r="M31" s="179">
        <f>+M30+M16</f>
        <v>46.493938309615132</v>
      </c>
    </row>
    <row r="32" spans="2:18" ht="15.75" customHeight="1" thickBot="1">
      <c r="B32" s="415" t="s">
        <v>47</v>
      </c>
      <c r="C32" s="416" t="s">
        <v>48</v>
      </c>
      <c r="D32" s="417"/>
      <c r="E32" s="417"/>
      <c r="F32" s="417"/>
      <c r="G32" s="417"/>
      <c r="H32" s="417"/>
      <c r="I32" s="417"/>
      <c r="J32" s="417"/>
      <c r="K32" s="417"/>
      <c r="L32" s="417"/>
      <c r="M32" s="418"/>
    </row>
    <row r="33" spans="2:14" ht="15.75" thickBot="1">
      <c r="B33" s="415"/>
      <c r="C33" s="414">
        <v>15</v>
      </c>
      <c r="D33" s="167" t="s">
        <v>49</v>
      </c>
      <c r="E33" s="168">
        <v>27</v>
      </c>
      <c r="F33" s="169">
        <f>+Jul!C32+Ago!C32+Sep!C32</f>
        <v>677.63000000000011</v>
      </c>
      <c r="G33" s="170">
        <f>+Jul!F32+Ago!F32+Sep!F32</f>
        <v>15583985</v>
      </c>
      <c r="H33" s="409">
        <f t="shared" ref="H33" si="22">+G33+G34</f>
        <v>22313885</v>
      </c>
      <c r="I33" s="170">
        <f>+Jul!H32+Ago!H32+Sep!H32</f>
        <v>65356</v>
      </c>
      <c r="J33" s="171">
        <f>+Jul!I32+Ago!I32+Sep!I32</f>
        <v>15518629</v>
      </c>
      <c r="K33" s="410">
        <f t="shared" ref="K33" si="23">+J33+J34</f>
        <v>22248529</v>
      </c>
      <c r="L33" s="172">
        <f t="shared" ref="L33:L39" si="24">IFERROR(+G33/F33/1000,0)</f>
        <v>22.997779023951118</v>
      </c>
      <c r="M33" s="173">
        <f t="shared" ref="M33:M41" si="25">(G33/$G$57)*100</f>
        <v>3.900323620053213</v>
      </c>
    </row>
    <row r="34" spans="2:14" ht="15.75" thickBot="1">
      <c r="B34" s="415"/>
      <c r="C34" s="414"/>
      <c r="D34" s="167" t="s">
        <v>50</v>
      </c>
      <c r="E34" s="168">
        <v>27</v>
      </c>
      <c r="F34" s="169">
        <f>+Jul!C33+Ago!C33+Sep!C33</f>
        <v>373.15999999999997</v>
      </c>
      <c r="G34" s="170">
        <f>+Jul!F33+Ago!F33+Sep!F33</f>
        <v>6729900</v>
      </c>
      <c r="H34" s="409"/>
      <c r="I34" s="168">
        <f>+Jul!H33+Ago!H33+Sep!H33</f>
        <v>0</v>
      </c>
      <c r="J34" s="171">
        <f>+Jul!I33+Ago!I33+Sep!I33</f>
        <v>6729900</v>
      </c>
      <c r="K34" s="410"/>
      <c r="L34" s="172">
        <f t="shared" si="24"/>
        <v>18.034891199485475</v>
      </c>
      <c r="M34" s="173">
        <f t="shared" si="25"/>
        <v>1.6843437625611239</v>
      </c>
    </row>
    <row r="35" spans="2:14" ht="15.75" thickBot="1">
      <c r="B35" s="415"/>
      <c r="C35" s="414">
        <v>16</v>
      </c>
      <c r="D35" s="167" t="s">
        <v>51</v>
      </c>
      <c r="E35" s="168">
        <v>49</v>
      </c>
      <c r="F35" s="169">
        <f>+Jul!C34+Ago!C34+Sep!C34</f>
        <v>880.18000000000006</v>
      </c>
      <c r="G35" s="170">
        <f>+Jul!F34+Ago!F34+Sep!F34</f>
        <v>40193169</v>
      </c>
      <c r="H35" s="409">
        <f t="shared" ref="H35" si="26">+G35+G36</f>
        <v>54412188</v>
      </c>
      <c r="I35" s="168">
        <f>+Jul!H34+Ago!H34+Sep!H34</f>
        <v>0</v>
      </c>
      <c r="J35" s="171">
        <f>+Jul!I34+Ago!I34+Sep!I34</f>
        <v>40193169</v>
      </c>
      <c r="K35" s="410">
        <f t="shared" ref="K35" si="27">+J35+J36</f>
        <v>53847128</v>
      </c>
      <c r="L35" s="172">
        <f t="shared" si="24"/>
        <v>45.664715171896653</v>
      </c>
      <c r="M35" s="173">
        <f t="shared" si="25"/>
        <v>10.059453112633935</v>
      </c>
      <c r="N35" s="3"/>
    </row>
    <row r="36" spans="2:14" ht="15.75" thickBot="1">
      <c r="B36" s="415"/>
      <c r="C36" s="414"/>
      <c r="D36" s="167" t="s">
        <v>52</v>
      </c>
      <c r="E36" s="168">
        <v>49</v>
      </c>
      <c r="F36" s="169">
        <f>+Jul!C35+Ago!C35+Sep!C35</f>
        <v>312.02999999999997</v>
      </c>
      <c r="G36" s="170">
        <f>+Jul!F35+Ago!F35+Sep!F35</f>
        <v>14219019</v>
      </c>
      <c r="H36" s="409"/>
      <c r="I36" s="170">
        <f>+Jul!H35+Ago!H35+Sep!H35</f>
        <v>565060</v>
      </c>
      <c r="J36" s="171">
        <f>+Jul!I35+Ago!I35+Sep!I35</f>
        <v>13653959</v>
      </c>
      <c r="K36" s="410"/>
      <c r="L36" s="172">
        <f t="shared" si="24"/>
        <v>45.569397173348719</v>
      </c>
      <c r="M36" s="173">
        <f t="shared" si="25"/>
        <v>3.5587030954974237</v>
      </c>
    </row>
    <row r="37" spans="2:14" ht="15.75" thickBot="1">
      <c r="B37" s="415"/>
      <c r="C37" s="414">
        <v>17</v>
      </c>
      <c r="D37" s="167" t="s">
        <v>53</v>
      </c>
      <c r="E37" s="168">
        <v>30</v>
      </c>
      <c r="F37" s="169">
        <f>+Jul!C36+Ago!C36+Sep!C36</f>
        <v>1117.17</v>
      </c>
      <c r="G37" s="170">
        <f>+Jul!F36+Ago!F36+Sep!F36</f>
        <v>28494145</v>
      </c>
      <c r="H37" s="409">
        <f t="shared" ref="H37" si="28">+G37+G38</f>
        <v>61492097</v>
      </c>
      <c r="I37" s="170">
        <f>+Jul!H36+Ago!H36+Sep!H36</f>
        <v>293698</v>
      </c>
      <c r="J37" s="171">
        <f>+Jul!I36+Ago!I36+Sep!I36</f>
        <v>28200447</v>
      </c>
      <c r="K37" s="410">
        <f t="shared" ref="K37" si="29">+J37+J38</f>
        <v>61198399</v>
      </c>
      <c r="L37" s="172">
        <f t="shared" si="24"/>
        <v>25.505648200363417</v>
      </c>
      <c r="M37" s="173">
        <f t="shared" si="25"/>
        <v>7.1314485208193643</v>
      </c>
      <c r="N37" s="3"/>
    </row>
    <row r="38" spans="2:14" ht="15.75" thickBot="1">
      <c r="B38" s="415"/>
      <c r="C38" s="414"/>
      <c r="D38" s="167" t="s">
        <v>54</v>
      </c>
      <c r="E38" s="168">
        <v>30</v>
      </c>
      <c r="F38" s="169">
        <f>+Jul!C37+Ago!C37+Sep!C37</f>
        <v>1244.3700000000001</v>
      </c>
      <c r="G38" s="170">
        <f>+Jul!F37+Ago!F37+Sep!F37</f>
        <v>32997952</v>
      </c>
      <c r="H38" s="409"/>
      <c r="I38" s="168">
        <f>+Jul!H37+Ago!H37+Sep!H37</f>
        <v>0</v>
      </c>
      <c r="J38" s="171">
        <f>+Jul!I37+Ago!I37+Sep!I37</f>
        <v>32997952</v>
      </c>
      <c r="K38" s="410"/>
      <c r="L38" s="172">
        <f t="shared" si="24"/>
        <v>26.517797761116064</v>
      </c>
      <c r="M38" s="173">
        <f t="shared" si="25"/>
        <v>8.2586508905765861</v>
      </c>
    </row>
    <row r="39" spans="2:14" ht="15.75" thickBot="1">
      <c r="B39" s="415"/>
      <c r="C39" s="168">
        <v>18</v>
      </c>
      <c r="D39" s="167" t="s">
        <v>55</v>
      </c>
      <c r="E39" s="168">
        <v>0.33</v>
      </c>
      <c r="F39" s="169">
        <f>+Jul!C38+Ago!C38+Sep!C38</f>
        <v>0</v>
      </c>
      <c r="G39" s="170">
        <f>+Jul!F38+Ago!F38+Sep!F38</f>
        <v>0</v>
      </c>
      <c r="H39" s="171">
        <f t="shared" ref="H39:H41" si="30">+G39</f>
        <v>0</v>
      </c>
      <c r="I39" s="170">
        <f>+Jul!H38+Ago!H38+Sep!H38</f>
        <v>702</v>
      </c>
      <c r="J39" s="171">
        <f>+Jul!I38+Ago!I38+Sep!I38</f>
        <v>0</v>
      </c>
      <c r="K39" s="170">
        <f t="shared" ref="K39:K41" si="31">+J39</f>
        <v>0</v>
      </c>
      <c r="L39" s="172">
        <f t="shared" si="24"/>
        <v>0</v>
      </c>
      <c r="M39" s="173">
        <f t="shared" si="25"/>
        <v>0</v>
      </c>
    </row>
    <row r="40" spans="2:14" ht="15.75" thickBot="1">
      <c r="B40" s="415"/>
      <c r="C40" s="168">
        <v>19</v>
      </c>
      <c r="D40" s="167" t="s">
        <v>56</v>
      </c>
      <c r="E40" s="168">
        <v>0.11</v>
      </c>
      <c r="F40" s="169">
        <f>+Jul!C39+Ago!C39+Sep!C39</f>
        <v>0</v>
      </c>
      <c r="G40" s="168">
        <f>+Jul!F39+Ago!F39+Sep!F39</f>
        <v>0</v>
      </c>
      <c r="H40" s="180">
        <f t="shared" si="30"/>
        <v>0</v>
      </c>
      <c r="I40" s="168">
        <f>+Jul!H39+Ago!H39+Sep!H39</f>
        <v>1686</v>
      </c>
      <c r="J40" s="180">
        <f>+Jul!I39+Ago!I39+Sep!I39</f>
        <v>0</v>
      </c>
      <c r="K40" s="168">
        <f t="shared" si="31"/>
        <v>0</v>
      </c>
      <c r="L40" s="172">
        <f>IFERROR(+G40/F40/1000,0)</f>
        <v>0</v>
      </c>
      <c r="M40" s="173">
        <f t="shared" si="25"/>
        <v>0</v>
      </c>
    </row>
    <row r="41" spans="2:14" ht="15.75" thickBot="1">
      <c r="B41" s="415"/>
      <c r="C41" s="168">
        <v>20</v>
      </c>
      <c r="D41" s="167" t="s">
        <v>57</v>
      </c>
      <c r="E41" s="168">
        <v>0.85</v>
      </c>
      <c r="F41" s="169">
        <f>+Jul!C40+Ago!C40+Sep!C40</f>
        <v>1837.04</v>
      </c>
      <c r="G41" s="170">
        <f>+Jul!F40+Ago!F40+Sep!F40</f>
        <v>879974</v>
      </c>
      <c r="H41" s="171">
        <f t="shared" si="30"/>
        <v>879974</v>
      </c>
      <c r="I41" s="170">
        <f>+Jul!H40+Ago!H40+Sep!H40</f>
        <v>20500</v>
      </c>
      <c r="J41" s="171">
        <f>+Jul!I40+Ago!I40+Sep!I40</f>
        <v>859474</v>
      </c>
      <c r="K41" s="170">
        <f t="shared" si="31"/>
        <v>859474</v>
      </c>
      <c r="L41" s="172">
        <f t="shared" ref="L41" si="32">IFERROR(+G41/F41/1000,0)</f>
        <v>0.47901733223010934</v>
      </c>
      <c r="M41" s="173">
        <f t="shared" si="25"/>
        <v>0.22023785169407606</v>
      </c>
    </row>
    <row r="42" spans="2:14" s="7" customFormat="1" ht="15.75" thickBot="1">
      <c r="B42" s="415"/>
      <c r="C42" s="419" t="s">
        <v>33</v>
      </c>
      <c r="D42" s="420"/>
      <c r="E42" s="174">
        <f>SUM(E33:E41)</f>
        <v>213.29000000000002</v>
      </c>
      <c r="F42" s="175">
        <f>SUM(F33:F41)</f>
        <v>6441.58</v>
      </c>
      <c r="G42" s="176">
        <f t="shared" ref="G42:L42" si="33">SUM(G33:G41)</f>
        <v>139098144</v>
      </c>
      <c r="H42" s="177">
        <f t="shared" si="33"/>
        <v>139098144</v>
      </c>
      <c r="I42" s="176">
        <f t="shared" si="33"/>
        <v>947002</v>
      </c>
      <c r="J42" s="177">
        <f t="shared" si="33"/>
        <v>138153530</v>
      </c>
      <c r="K42" s="176">
        <f t="shared" si="33"/>
        <v>138153530</v>
      </c>
      <c r="L42" s="178">
        <f t="shared" si="33"/>
        <v>184.76924586239156</v>
      </c>
      <c r="M42" s="179">
        <f>SUM(M33:M41)</f>
        <v>34.813160853835718</v>
      </c>
    </row>
    <row r="43" spans="2:14" ht="15.75" thickBot="1">
      <c r="B43" s="415"/>
      <c r="C43" s="416" t="s">
        <v>58</v>
      </c>
      <c r="D43" s="417"/>
      <c r="E43" s="417"/>
      <c r="F43" s="417"/>
      <c r="G43" s="417"/>
      <c r="H43" s="417"/>
      <c r="I43" s="417"/>
      <c r="J43" s="417"/>
      <c r="K43" s="417"/>
      <c r="L43" s="417"/>
      <c r="M43" s="418"/>
    </row>
    <row r="44" spans="2:14" ht="15.75" thickBot="1">
      <c r="B44" s="415"/>
      <c r="C44" s="168">
        <v>21</v>
      </c>
      <c r="D44" s="167" t="s">
        <v>59</v>
      </c>
      <c r="E44" s="168">
        <v>13</v>
      </c>
      <c r="F44" s="169">
        <f>+Jul!C43+Ago!C43+Sep!C43</f>
        <v>1890.03</v>
      </c>
      <c r="G44" s="170">
        <f>+Jul!F43+Ago!F43+Sep!F43</f>
        <v>16989296</v>
      </c>
      <c r="H44" s="171">
        <f t="shared" ref="H44:H46" si="34">+G44</f>
        <v>16989296</v>
      </c>
      <c r="I44" s="170">
        <f>+Jul!H43+Ago!H43+Sep!H43</f>
        <v>63698</v>
      </c>
      <c r="J44" s="171">
        <f>+Jul!I43+Ago!I43+Sep!I43</f>
        <v>16925598</v>
      </c>
      <c r="K44" s="170">
        <f t="shared" ref="K44:K46" si="35">+J44</f>
        <v>16925598</v>
      </c>
      <c r="L44" s="172">
        <f t="shared" ref="L44:L54" si="36">IFERROR(+G44/F44/1000,0)</f>
        <v>8.9889028216483329</v>
      </c>
      <c r="M44" s="173">
        <f t="shared" ref="M44:M54" si="37">(G44/$G$57)*100</f>
        <v>4.2520415976321573</v>
      </c>
    </row>
    <row r="45" spans="2:14" ht="15.75" thickBot="1">
      <c r="B45" s="415"/>
      <c r="C45" s="168">
        <v>22</v>
      </c>
      <c r="D45" s="167" t="s">
        <v>60</v>
      </c>
      <c r="E45" s="168">
        <v>6.3</v>
      </c>
      <c r="F45" s="169">
        <f>+Jul!C44+Ago!C44+Sep!C44</f>
        <v>2134.56</v>
      </c>
      <c r="G45" s="170">
        <f>+Jul!F44+Ago!F44+Sep!F44</f>
        <v>10428200</v>
      </c>
      <c r="H45" s="171">
        <f t="shared" si="34"/>
        <v>10428200</v>
      </c>
      <c r="I45" s="170">
        <f>+Jul!H44+Ago!H44+Sep!H44</f>
        <v>38950</v>
      </c>
      <c r="J45" s="171">
        <f>+Jul!I44+Ago!I44+Sep!I44</f>
        <v>10389250</v>
      </c>
      <c r="K45" s="170">
        <f t="shared" si="35"/>
        <v>10389250</v>
      </c>
      <c r="L45" s="172">
        <f t="shared" si="36"/>
        <v>4.885409639457313</v>
      </c>
      <c r="M45" s="173">
        <f t="shared" si="37"/>
        <v>2.6099457086643061</v>
      </c>
    </row>
    <row r="46" spans="2:14" ht="15.75" thickBot="1">
      <c r="B46" s="415"/>
      <c r="C46" s="168">
        <v>23</v>
      </c>
      <c r="D46" s="167" t="s">
        <v>61</v>
      </c>
      <c r="E46" s="168">
        <v>7.5</v>
      </c>
      <c r="F46" s="169">
        <f>+Jul!C45+Ago!C45+Sep!C45</f>
        <v>1853.24</v>
      </c>
      <c r="G46" s="170">
        <f>+Jul!F45+Ago!F45+Sep!F45</f>
        <v>2568772</v>
      </c>
      <c r="H46" s="171">
        <f t="shared" si="34"/>
        <v>2568772</v>
      </c>
      <c r="I46" s="170">
        <f>+Jul!H45+Ago!H45+Sep!H45</f>
        <v>28044</v>
      </c>
      <c r="J46" s="171">
        <f>+Jul!I45+Ago!I45+Sep!I45</f>
        <v>2540728</v>
      </c>
      <c r="K46" s="170">
        <f t="shared" si="35"/>
        <v>2540728</v>
      </c>
      <c r="L46" s="172">
        <f t="shared" si="36"/>
        <v>1.3860978610433619</v>
      </c>
      <c r="M46" s="173">
        <f t="shared" si="37"/>
        <v>0.6429062981086886</v>
      </c>
    </row>
    <row r="47" spans="2:14" ht="15.75" thickBot="1">
      <c r="B47" s="415"/>
      <c r="C47" s="414">
        <v>24</v>
      </c>
      <c r="D47" s="167" t="s">
        <v>62</v>
      </c>
      <c r="E47" s="168">
        <v>4.8499999999999996</v>
      </c>
      <c r="F47" s="169">
        <f>+Jul!C46+Ago!C46+Sep!C46</f>
        <v>1694.17</v>
      </c>
      <c r="G47" s="170">
        <f>+Jul!F46+Ago!F46+Sep!F46</f>
        <v>5021400</v>
      </c>
      <c r="H47" s="409">
        <f t="shared" ref="H47:H53" si="38">+G47+G48</f>
        <v>9321000</v>
      </c>
      <c r="I47" s="170">
        <f>+Jul!H46+Ago!H46+Sep!H46</f>
        <v>46986</v>
      </c>
      <c r="J47" s="171">
        <f>+Jul!I46+Ago!I46+Sep!I46</f>
        <v>4974414</v>
      </c>
      <c r="K47" s="410">
        <f t="shared" ref="K47:K53" si="39">+J47+J48</f>
        <v>9274014</v>
      </c>
      <c r="L47" s="172">
        <f t="shared" si="36"/>
        <v>2.9639292396866899</v>
      </c>
      <c r="M47" s="173">
        <f t="shared" si="37"/>
        <v>1.2567443452836489</v>
      </c>
    </row>
    <row r="48" spans="2:14" ht="15.75" thickBot="1">
      <c r="B48" s="415"/>
      <c r="C48" s="414"/>
      <c r="D48" s="167" t="s">
        <v>63</v>
      </c>
      <c r="E48" s="168">
        <v>4.8499999999999996</v>
      </c>
      <c r="F48" s="169">
        <f>+Jul!C47+Ago!C47+Sep!C47</f>
        <v>1695.76</v>
      </c>
      <c r="G48" s="170">
        <f>+Jul!F47+Ago!F47+Sep!F47</f>
        <v>4299600</v>
      </c>
      <c r="H48" s="409"/>
      <c r="I48" s="168">
        <f>+Jul!H47+Ago!H47+Sep!H47</f>
        <v>0</v>
      </c>
      <c r="J48" s="171">
        <f>+Jul!I47+Ago!I47+Sep!I47</f>
        <v>4299600</v>
      </c>
      <c r="K48" s="410"/>
      <c r="L48" s="172">
        <f t="shared" si="36"/>
        <v>2.5355003066471671</v>
      </c>
      <c r="M48" s="173">
        <f t="shared" si="37"/>
        <v>1.0760939154382396</v>
      </c>
    </row>
    <row r="49" spans="2:13" ht="15.75" thickBot="1">
      <c r="B49" s="415"/>
      <c r="C49" s="414">
        <v>25</v>
      </c>
      <c r="D49" s="167" t="s">
        <v>64</v>
      </c>
      <c r="E49" s="168">
        <v>1.95</v>
      </c>
      <c r="F49" s="169">
        <f>+Jul!C48+Ago!C48+Sep!C48</f>
        <v>2027.6999999999998</v>
      </c>
      <c r="G49" s="170">
        <f>+Jul!F48+Ago!F48+Sep!F48</f>
        <v>2274156</v>
      </c>
      <c r="H49" s="409">
        <f t="shared" si="38"/>
        <v>4748124</v>
      </c>
      <c r="I49" s="170">
        <f>+Jul!H48+Ago!H48+Sep!H48</f>
        <v>75198</v>
      </c>
      <c r="J49" s="171">
        <f>+Jul!I48+Ago!I48+Sep!I48</f>
        <v>2198958</v>
      </c>
      <c r="K49" s="410">
        <f t="shared" si="39"/>
        <v>4672926</v>
      </c>
      <c r="L49" s="172">
        <f t="shared" si="36"/>
        <v>1.1215446071904129</v>
      </c>
      <c r="M49" s="173">
        <f t="shared" si="37"/>
        <v>0.56917048896580269</v>
      </c>
    </row>
    <row r="50" spans="2:13" ht="15.75" thickBot="1">
      <c r="B50" s="415"/>
      <c r="C50" s="414"/>
      <c r="D50" s="167" t="s">
        <v>65</v>
      </c>
      <c r="E50" s="168">
        <v>1.95</v>
      </c>
      <c r="F50" s="169">
        <f>+Jul!C49+Ago!C49+Sep!C49</f>
        <v>2055.4299999999998</v>
      </c>
      <c r="G50" s="170">
        <f>+Jul!F49+Ago!F49+Sep!F49</f>
        <v>2473968</v>
      </c>
      <c r="H50" s="409"/>
      <c r="I50" s="168">
        <f>+Jul!H49+Ago!H49+Sep!H49</f>
        <v>0</v>
      </c>
      <c r="J50" s="171">
        <f>+Jul!I49+Ago!I49+Sep!I49</f>
        <v>2473968</v>
      </c>
      <c r="K50" s="410"/>
      <c r="L50" s="172">
        <f t="shared" si="36"/>
        <v>1.2036255187479021</v>
      </c>
      <c r="M50" s="173">
        <f t="shared" si="37"/>
        <v>0.61917897287861912</v>
      </c>
    </row>
    <row r="51" spans="2:13" ht="15.75" thickBot="1">
      <c r="B51" s="415"/>
      <c r="C51" s="414">
        <v>26</v>
      </c>
      <c r="D51" s="167" t="s">
        <v>66</v>
      </c>
      <c r="E51" s="168">
        <v>1.6</v>
      </c>
      <c r="F51" s="169">
        <f>+Jul!C50+Ago!C50+Sep!C50</f>
        <v>415.72999999999996</v>
      </c>
      <c r="G51" s="170">
        <f>+Jul!F50+Ago!F50+Sep!F50</f>
        <v>604735</v>
      </c>
      <c r="H51" s="409">
        <f t="shared" si="38"/>
        <v>1263461</v>
      </c>
      <c r="I51" s="170">
        <f>+Jul!H50+Ago!H50+Sep!H50</f>
        <v>23201</v>
      </c>
      <c r="J51" s="171">
        <f>+Jul!I50+Ago!I50+Sep!I50</f>
        <v>581534</v>
      </c>
      <c r="K51" s="410">
        <f t="shared" si="39"/>
        <v>1240260</v>
      </c>
      <c r="L51" s="172">
        <f t="shared" si="36"/>
        <v>1.454634017270825</v>
      </c>
      <c r="M51" s="173">
        <f t="shared" si="37"/>
        <v>0.15135167316786302</v>
      </c>
    </row>
    <row r="52" spans="2:13" ht="15.75" thickBot="1">
      <c r="B52" s="415"/>
      <c r="C52" s="414"/>
      <c r="D52" s="167" t="s">
        <v>67</v>
      </c>
      <c r="E52" s="168">
        <v>1.6</v>
      </c>
      <c r="F52" s="169">
        <f>+Jul!C51+Ago!C51+Sep!C51</f>
        <v>517.78</v>
      </c>
      <c r="G52" s="170">
        <f>+Jul!F51+Ago!F51+Sep!F51</f>
        <v>658726</v>
      </c>
      <c r="H52" s="409"/>
      <c r="I52" s="168">
        <f>+Jul!H51+Ago!H51+Sep!H51</f>
        <v>0</v>
      </c>
      <c r="J52" s="171">
        <f>+Jul!I51+Ago!I51+Sep!I51</f>
        <v>658726</v>
      </c>
      <c r="K52" s="410"/>
      <c r="L52" s="172">
        <f t="shared" si="36"/>
        <v>1.272212136428599</v>
      </c>
      <c r="M52" s="173">
        <f t="shared" si="37"/>
        <v>0.16486441542026462</v>
      </c>
    </row>
    <row r="53" spans="2:13" ht="15.75" thickBot="1">
      <c r="B53" s="415"/>
      <c r="C53" s="414">
        <v>27</v>
      </c>
      <c r="D53" s="167" t="s">
        <v>68</v>
      </c>
      <c r="E53" s="168">
        <v>40</v>
      </c>
      <c r="F53" s="169">
        <f>+Jul!C52+Ago!C52+Sep!C52</f>
        <v>437.58000000000004</v>
      </c>
      <c r="G53" s="170">
        <f>+Jul!F52+Ago!F52+Sep!F52</f>
        <v>14603712</v>
      </c>
      <c r="H53" s="409">
        <f t="shared" si="38"/>
        <v>29369792</v>
      </c>
      <c r="I53" s="170">
        <f>+Jul!H52+Ago!H52+Sep!H52</f>
        <v>304215</v>
      </c>
      <c r="J53" s="171">
        <f>+Jul!I52+Ago!I52+Sep!I52</f>
        <v>14299497</v>
      </c>
      <c r="K53" s="410">
        <f t="shared" si="39"/>
        <v>29065577</v>
      </c>
      <c r="L53" s="172">
        <f t="shared" si="36"/>
        <v>33.373810503222266</v>
      </c>
      <c r="M53" s="173">
        <f t="shared" si="37"/>
        <v>3.654983167274259</v>
      </c>
    </row>
    <row r="54" spans="2:13" ht="15.75" thickBot="1">
      <c r="B54" s="415"/>
      <c r="C54" s="414"/>
      <c r="D54" s="167" t="s">
        <v>69</v>
      </c>
      <c r="E54" s="168">
        <v>40</v>
      </c>
      <c r="F54" s="169">
        <f>+Jul!C53+Ago!C53+Sep!C53</f>
        <v>429.84999999999997</v>
      </c>
      <c r="G54" s="170">
        <f>+Jul!F53+Ago!F53+Sep!F53</f>
        <v>14766080</v>
      </c>
      <c r="H54" s="409"/>
      <c r="I54" s="168">
        <f>+Jul!H53+Ago!H53+Sep!H53</f>
        <v>0</v>
      </c>
      <c r="J54" s="171">
        <f>+Jul!I53+Ago!I53+Sep!I53</f>
        <v>14766080</v>
      </c>
      <c r="K54" s="410"/>
      <c r="L54" s="172">
        <f t="shared" si="36"/>
        <v>34.351704082819587</v>
      </c>
      <c r="M54" s="173">
        <f t="shared" si="37"/>
        <v>3.6956202537152949</v>
      </c>
    </row>
    <row r="55" spans="2:13" s="7" customFormat="1" ht="15.75" thickBot="1">
      <c r="B55" s="415"/>
      <c r="C55" s="419" t="s">
        <v>33</v>
      </c>
      <c r="D55" s="420"/>
      <c r="E55" s="174">
        <f>SUM(E44:E54)</f>
        <v>123.60000000000001</v>
      </c>
      <c r="F55" s="175">
        <f t="shared" ref="F55:L55" si="40">SUM(F44:F54)</f>
        <v>15151.83</v>
      </c>
      <c r="G55" s="176">
        <f t="shared" si="40"/>
        <v>74688645</v>
      </c>
      <c r="H55" s="177">
        <f t="shared" si="40"/>
        <v>74688645</v>
      </c>
      <c r="I55" s="176">
        <f t="shared" si="40"/>
        <v>580292</v>
      </c>
      <c r="J55" s="177">
        <f t="shared" si="40"/>
        <v>74108353</v>
      </c>
      <c r="K55" s="176">
        <f t="shared" si="40"/>
        <v>74108353</v>
      </c>
      <c r="L55" s="178">
        <f t="shared" si="40"/>
        <v>93.537370734162465</v>
      </c>
      <c r="M55" s="179">
        <f>SUM(M44:M54)</f>
        <v>18.692900836549143</v>
      </c>
    </row>
    <row r="56" spans="2:13" s="7" customFormat="1" ht="15.75" thickBot="1">
      <c r="B56" s="415"/>
      <c r="C56" s="419" t="s">
        <v>46</v>
      </c>
      <c r="D56" s="420"/>
      <c r="E56" s="174">
        <f>+E42+E55</f>
        <v>336.89000000000004</v>
      </c>
      <c r="F56" s="175">
        <f t="shared" ref="F56:L56" si="41">+F42+F55</f>
        <v>21593.41</v>
      </c>
      <c r="G56" s="176">
        <f t="shared" si="41"/>
        <v>213786789</v>
      </c>
      <c r="H56" s="177">
        <f t="shared" si="41"/>
        <v>213786789</v>
      </c>
      <c r="I56" s="176">
        <f t="shared" si="41"/>
        <v>1527294</v>
      </c>
      <c r="J56" s="177">
        <f t="shared" si="41"/>
        <v>212261883</v>
      </c>
      <c r="K56" s="176">
        <f t="shared" si="41"/>
        <v>212261883</v>
      </c>
      <c r="L56" s="178">
        <f t="shared" si="41"/>
        <v>278.30661659655402</v>
      </c>
      <c r="M56" s="179">
        <f>+M55+M42</f>
        <v>53.506061690384861</v>
      </c>
    </row>
    <row r="57" spans="2:13" s="7" customFormat="1" ht="15.75" thickBot="1">
      <c r="B57" s="413" t="s">
        <v>70</v>
      </c>
      <c r="C57" s="413"/>
      <c r="D57" s="413"/>
      <c r="E57" s="181">
        <f>+E31+E56</f>
        <v>624.57000000000005</v>
      </c>
      <c r="F57" s="182">
        <f t="shared" ref="F57:L57" si="42">+F31+F56</f>
        <v>45309.81</v>
      </c>
      <c r="G57" s="183">
        <f t="shared" si="42"/>
        <v>399556204</v>
      </c>
      <c r="H57" s="183">
        <f t="shared" si="42"/>
        <v>399556204</v>
      </c>
      <c r="I57" s="183">
        <f t="shared" si="42"/>
        <v>2612713</v>
      </c>
      <c r="J57" s="183">
        <f t="shared" si="42"/>
        <v>396974899</v>
      </c>
      <c r="K57" s="183">
        <f t="shared" si="42"/>
        <v>396974899</v>
      </c>
      <c r="L57" s="184">
        <f t="shared" si="42"/>
        <v>492.56920122555493</v>
      </c>
      <c r="M57" s="184">
        <f>+M56+M31</f>
        <v>100</v>
      </c>
    </row>
    <row r="58" spans="2:13" s="7" customFormat="1">
      <c r="B58" s="260"/>
      <c r="C58" s="260"/>
      <c r="D58" s="260"/>
      <c r="E58" s="260"/>
      <c r="F58" s="261">
        <f>+Jul!M10+Ago!M10+Sep!M10-'3er Trimestre'!F57</f>
        <v>0</v>
      </c>
      <c r="G58" s="262">
        <f>+G57-Jul!F55-Ago!F55-Sep!F55</f>
        <v>0</v>
      </c>
      <c r="H58" s="262">
        <f>+G57-H57</f>
        <v>0</v>
      </c>
      <c r="I58" s="262">
        <f>+I57-Jul!H55-Ago!H55-Sep!H55</f>
        <v>0</v>
      </c>
      <c r="J58" s="262">
        <f>+J57-Jul!I55-Ago!I55-Sep!I55</f>
        <v>0</v>
      </c>
      <c r="K58" s="262">
        <f>+J57-K57</f>
        <v>0</v>
      </c>
      <c r="L58" s="263"/>
      <c r="M58" s="263"/>
    </row>
    <row r="59" spans="2:13" s="7" customFormat="1">
      <c r="B59" s="260"/>
      <c r="C59" s="260"/>
      <c r="D59" s="260"/>
      <c r="E59" s="260"/>
      <c r="F59" s="261"/>
      <c r="G59" s="262"/>
      <c r="H59" s="262"/>
      <c r="I59" s="262"/>
      <c r="J59" s="262"/>
      <c r="K59" s="262"/>
      <c r="L59" s="263"/>
      <c r="M59" s="263"/>
    </row>
    <row r="60" spans="2:13" s="7" customFormat="1">
      <c r="B60" s="260"/>
      <c r="C60" s="260"/>
      <c r="D60" s="260"/>
      <c r="E60" s="260"/>
      <c r="F60" s="261"/>
      <c r="G60" s="262"/>
      <c r="H60" s="262"/>
      <c r="I60" s="262"/>
      <c r="J60" s="262"/>
      <c r="K60" s="262"/>
      <c r="L60" s="263"/>
      <c r="M60" s="263"/>
    </row>
    <row r="61" spans="2:13" s="7" customFormat="1">
      <c r="B61" s="260"/>
      <c r="C61" s="260"/>
      <c r="D61" s="260"/>
      <c r="E61" s="260"/>
      <c r="F61" s="261"/>
      <c r="G61" s="262"/>
      <c r="H61" s="262"/>
      <c r="I61" s="262"/>
      <c r="J61" s="262"/>
      <c r="K61" s="262"/>
      <c r="L61" s="263"/>
      <c r="M61" s="263"/>
    </row>
    <row r="62" spans="2:13" s="7" customFormat="1">
      <c r="B62" s="260"/>
      <c r="C62" s="260"/>
      <c r="D62" s="260"/>
      <c r="E62" s="260"/>
      <c r="F62" s="261"/>
      <c r="G62" s="262"/>
      <c r="H62" s="262"/>
      <c r="I62" s="262"/>
      <c r="J62" s="262"/>
      <c r="K62" s="262"/>
      <c r="L62" s="263"/>
      <c r="M62" s="263"/>
    </row>
    <row r="63" spans="2:13" s="7" customFormat="1">
      <c r="B63" s="260"/>
      <c r="C63" s="260"/>
      <c r="D63" s="260"/>
      <c r="E63" s="260"/>
      <c r="F63" s="261"/>
      <c r="G63" s="262"/>
      <c r="H63" s="262"/>
      <c r="I63" s="262"/>
      <c r="J63" s="262"/>
      <c r="K63" s="262"/>
      <c r="L63" s="263"/>
      <c r="M63" s="263"/>
    </row>
    <row r="64" spans="2:13">
      <c r="E64" s="8"/>
      <c r="F64" s="8"/>
      <c r="G64" s="8">
        <f>+Ene!F55+Feb!F55+Mar!F55-G57</f>
        <v>-56350049</v>
      </c>
      <c r="H64" s="8">
        <f>+Ene!G55+Feb!G55+Mar!G55-H57</f>
        <v>-56350049</v>
      </c>
      <c r="I64" s="8">
        <f>+Ene!H55+Feb!H55+Mar!H55-I57</f>
        <v>-210519</v>
      </c>
      <c r="J64" s="8">
        <f>+Ene!I55+Feb!I55+Mar!I55-J57</f>
        <v>-56127622</v>
      </c>
      <c r="K64" s="8">
        <f>+Ene!J55+Feb!J55+Mar!J55-K57</f>
        <v>-56127622</v>
      </c>
      <c r="L64" s="8"/>
      <c r="M64" s="8"/>
    </row>
    <row r="66" spans="7:11" ht="15.75" thickBot="1">
      <c r="G66" s="3">
        <f>+G57/10^6</f>
        <v>399.55620399999998</v>
      </c>
    </row>
    <row r="67" spans="7:11">
      <c r="I67" s="9" t="s">
        <v>71</v>
      </c>
    </row>
    <row r="68" spans="7:11" ht="15.75" thickBot="1">
      <c r="I68" s="10">
        <f>+I57/G57</f>
        <v>6.5390374967122271E-3</v>
      </c>
      <c r="K68" s="189"/>
    </row>
  </sheetData>
  <mergeCells count="58">
    <mergeCell ref="B3:M3"/>
    <mergeCell ref="B1:M1"/>
    <mergeCell ref="B5:B31"/>
    <mergeCell ref="C5:M5"/>
    <mergeCell ref="C6:C7"/>
    <mergeCell ref="H6:H7"/>
    <mergeCell ref="K6:K7"/>
    <mergeCell ref="C9:C10"/>
    <mergeCell ref="H9:H10"/>
    <mergeCell ref="K9:K10"/>
    <mergeCell ref="C11:C12"/>
    <mergeCell ref="H11:H12"/>
    <mergeCell ref="K11:K12"/>
    <mergeCell ref="C13:C14"/>
    <mergeCell ref="H13:H14"/>
    <mergeCell ref="K13:K14"/>
    <mergeCell ref="C16:D16"/>
    <mergeCell ref="C17:M17"/>
    <mergeCell ref="K37:K38"/>
    <mergeCell ref="C28:C29"/>
    <mergeCell ref="H28:H29"/>
    <mergeCell ref="K28:K29"/>
    <mergeCell ref="H22:H23"/>
    <mergeCell ref="K22:K23"/>
    <mergeCell ref="H25:H26"/>
    <mergeCell ref="K25:K26"/>
    <mergeCell ref="K33:K34"/>
    <mergeCell ref="C35:C36"/>
    <mergeCell ref="H35:H36"/>
    <mergeCell ref="K35:K36"/>
    <mergeCell ref="C37:C38"/>
    <mergeCell ref="C32:M32"/>
    <mergeCell ref="K53:K54"/>
    <mergeCell ref="C47:C48"/>
    <mergeCell ref="C22:C23"/>
    <mergeCell ref="C25:C26"/>
    <mergeCell ref="H47:H48"/>
    <mergeCell ref="K47:K48"/>
    <mergeCell ref="C49:C50"/>
    <mergeCell ref="H49:H50"/>
    <mergeCell ref="K49:K50"/>
    <mergeCell ref="H37:H38"/>
    <mergeCell ref="H19:H20"/>
    <mergeCell ref="K19:K20"/>
    <mergeCell ref="C19:C20"/>
    <mergeCell ref="B57:D57"/>
    <mergeCell ref="C51:C52"/>
    <mergeCell ref="H51:H52"/>
    <mergeCell ref="B32:B56"/>
    <mergeCell ref="C33:C34"/>
    <mergeCell ref="H33:H34"/>
    <mergeCell ref="C43:M43"/>
    <mergeCell ref="C42:D42"/>
    <mergeCell ref="C55:D55"/>
    <mergeCell ref="C56:D56"/>
    <mergeCell ref="K51:K52"/>
    <mergeCell ref="C53:C54"/>
    <mergeCell ref="H53:H5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09"/>
  <sheetViews>
    <sheetView zoomScale="85" zoomScaleNormal="85" workbookViewId="0">
      <selection activeCell="E46" sqref="E46"/>
    </sheetView>
  </sheetViews>
  <sheetFormatPr baseColWidth="10" defaultColWidth="9" defaultRowHeight="15"/>
  <cols>
    <col min="1" max="1" width="16.42578125" customWidth="1"/>
    <col min="2" max="2" width="17.140625" bestFit="1" customWidth="1"/>
    <col min="3" max="3" width="15" customWidth="1"/>
    <col min="4" max="4" width="10.7109375" customWidth="1"/>
    <col min="5" max="5" width="16.28515625" customWidth="1"/>
    <col min="6" max="6" width="17" bestFit="1" customWidth="1"/>
    <col min="7" max="7" width="17.140625" customWidth="1"/>
    <col min="8" max="9" width="16.28515625" bestFit="1" customWidth="1"/>
    <col min="10" max="10" width="11.7109375" bestFit="1" customWidth="1"/>
    <col min="12" max="12" width="11.42578125" customWidth="1"/>
    <col min="13" max="13" width="12.7109375" bestFit="1" customWidth="1"/>
    <col min="14" max="14" width="9.85546875" customWidth="1"/>
    <col min="18" max="18" width="10.28515625" bestFit="1" customWidth="1"/>
  </cols>
  <sheetData>
    <row r="1" spans="1:14" ht="27.75" thickBot="1">
      <c r="A1" s="20"/>
      <c r="B1" s="21" t="s">
        <v>2</v>
      </c>
      <c r="C1" s="22" t="s">
        <v>3</v>
      </c>
      <c r="D1" s="23" t="s">
        <v>4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5" t="s">
        <v>10</v>
      </c>
      <c r="L1" s="59" t="s">
        <v>72</v>
      </c>
      <c r="M1" s="59" t="s">
        <v>105</v>
      </c>
      <c r="N1" s="59" t="s">
        <v>106</v>
      </c>
    </row>
    <row r="2" spans="1:14" ht="15" customHeight="1" thickBot="1">
      <c r="A2" s="407" t="s">
        <v>100</v>
      </c>
      <c r="B2" s="26" t="s">
        <v>56</v>
      </c>
      <c r="C2" s="27">
        <v>0.11</v>
      </c>
      <c r="D2" s="28" t="e">
        <f>+VLOOKUP($B2,'Año 2018 por zona'!$D$3:$M$52,3,FALSE)</f>
        <v>#REF!</v>
      </c>
      <c r="E2" s="29" t="e">
        <f>+VLOOKUP($B2,'Año 2018 por zona'!$D$3:$M$52,4,FALSE)</f>
        <v>#REF!</v>
      </c>
      <c r="F2" s="30" t="e">
        <f>E2</f>
        <v>#REF!</v>
      </c>
      <c r="G2" s="29" t="e">
        <f>+VLOOKUP($B2,'Año 2018 por zona'!$D$3:$M$52,6,FALSE)</f>
        <v>#REF!</v>
      </c>
      <c r="H2" s="30" t="e">
        <f>+VLOOKUP($B2,'Año 2018 por zona'!$D$3:$M$52,7,FALSE)</f>
        <v>#REF!</v>
      </c>
      <c r="I2" s="29" t="e">
        <f>+H2</f>
        <v>#REF!</v>
      </c>
      <c r="J2" s="31">
        <f>IFERROR((E2/1000)/D2,0)</f>
        <v>0</v>
      </c>
      <c r="L2" s="60" t="s">
        <v>73</v>
      </c>
      <c r="M2" s="61" t="e">
        <f>+#REF!</f>
        <v>#REF!</v>
      </c>
      <c r="N2" s="62" t="e">
        <f>+#REF!</f>
        <v>#REF!</v>
      </c>
    </row>
    <row r="3" spans="1:14" ht="15.75" thickBot="1">
      <c r="A3" s="408"/>
      <c r="B3" s="26" t="s">
        <v>55</v>
      </c>
      <c r="C3" s="27">
        <v>0.33</v>
      </c>
      <c r="D3" s="28" t="e">
        <f>+VLOOKUP($B3,'Año 2018 por zona'!$D$3:$M$52,3,FALSE)</f>
        <v>#REF!</v>
      </c>
      <c r="E3" s="29" t="e">
        <f>+VLOOKUP($B3,'Año 2018 por zona'!$D$3:$M$52,4,FALSE)</f>
        <v>#REF!</v>
      </c>
      <c r="F3" s="30" t="e">
        <f>+E3</f>
        <v>#REF!</v>
      </c>
      <c r="G3" s="29" t="e">
        <f>+VLOOKUP($B3,'Año 2018 por zona'!$D$3:$M$52,6,FALSE)</f>
        <v>#REF!</v>
      </c>
      <c r="H3" s="30" t="e">
        <f>+VLOOKUP($B3,'Año 2018 por zona'!$D$3:$M$52,7,FALSE)</f>
        <v>#REF!</v>
      </c>
      <c r="I3" s="29" t="e">
        <f>+H3</f>
        <v>#REF!</v>
      </c>
      <c r="J3" s="31">
        <f t="shared" ref="J3:J44" si="0">IFERROR((E3/1000)/D3,0)</f>
        <v>0</v>
      </c>
      <c r="L3" s="63" t="s">
        <v>74</v>
      </c>
      <c r="M3" s="64" t="e">
        <f>+#REF!</f>
        <v>#REF!</v>
      </c>
      <c r="N3" s="65" t="e">
        <f>+#REF!</f>
        <v>#REF!</v>
      </c>
    </row>
    <row r="4" spans="1:14" ht="15.75" thickBot="1">
      <c r="A4" s="408"/>
      <c r="B4" s="26" t="s">
        <v>41</v>
      </c>
      <c r="C4" s="27">
        <v>0.35</v>
      </c>
      <c r="D4" s="32" t="e">
        <f>+VLOOKUP($B4,'Año 2018 por zona'!$D$3:$M$52,3,FALSE)</f>
        <v>#REF!</v>
      </c>
      <c r="E4" s="29" t="e">
        <f>+VLOOKUP($B4,'Año 2018 por zona'!$D$3:$M$52,4,FALSE)</f>
        <v>#REF!</v>
      </c>
      <c r="F4" s="403" t="e">
        <f>+E4+E5</f>
        <v>#REF!</v>
      </c>
      <c r="G4" s="29" t="e">
        <f>+VLOOKUP($B4,'Año 2018 por zona'!$D$3:$M$52,6,FALSE)</f>
        <v>#REF!</v>
      </c>
      <c r="H4" s="30" t="e">
        <f>+VLOOKUP($B4,'Año 2018 por zona'!$D$3:$M$52,7,FALSE)</f>
        <v>#REF!</v>
      </c>
      <c r="I4" s="406" t="e">
        <f>+H4+H5</f>
        <v>#REF!</v>
      </c>
      <c r="J4" s="31">
        <f t="shared" si="0"/>
        <v>0</v>
      </c>
      <c r="L4" s="60" t="s">
        <v>75</v>
      </c>
      <c r="M4" s="61" t="e">
        <f>+#REF!</f>
        <v>#REF!</v>
      </c>
      <c r="N4" s="62" t="e">
        <f>+#REF!</f>
        <v>#REF!</v>
      </c>
    </row>
    <row r="5" spans="1:14" ht="15.75" thickBot="1">
      <c r="A5" s="408"/>
      <c r="B5" s="26" t="s">
        <v>42</v>
      </c>
      <c r="C5" s="27">
        <v>0.35</v>
      </c>
      <c r="D5" s="32" t="e">
        <f>+VLOOKUP($B5,'Año 2018 por zona'!$D$3:$M$52,3,FALSE)</f>
        <v>#REF!</v>
      </c>
      <c r="E5" s="29" t="e">
        <f>+VLOOKUP($B5,'Año 2018 por zona'!$D$3:$M$52,4,FALSE)</f>
        <v>#REF!</v>
      </c>
      <c r="F5" s="402" t="e">
        <f>[1]ene14!F5+[1]feb14!F5+[1]mar14!F5+#REF!+#REF!+#REF!+#REF!+#REF!+#REF!+#REF!+#REF!+#REF!</f>
        <v>#REF!</v>
      </c>
      <c r="G5" s="29" t="e">
        <f>+VLOOKUP($B5,'Año 2018 por zona'!$D$3:$M$52,6,FALSE)</f>
        <v>#REF!</v>
      </c>
      <c r="H5" s="30" t="e">
        <f>+VLOOKUP($B5,'Año 2018 por zona'!$D$3:$M$52,7,FALSE)</f>
        <v>#REF!</v>
      </c>
      <c r="I5" s="405" t="e">
        <f>[1]ene14!I5+[1]feb14!I5+[1]mar14!I5+#REF!+#REF!+#REF!+#REF!+#REF!+#REF!+#REF!</f>
        <v>#REF!</v>
      </c>
      <c r="J5" s="31">
        <f t="shared" si="0"/>
        <v>0</v>
      </c>
      <c r="L5" s="63" t="s">
        <v>76</v>
      </c>
      <c r="M5" s="64" t="e">
        <f>+#REF!</f>
        <v>#REF!</v>
      </c>
      <c r="N5" s="65" t="e">
        <f>+#REF!</f>
        <v>#REF!</v>
      </c>
    </row>
    <row r="6" spans="1:14" ht="15.75" thickBot="1">
      <c r="A6" s="408"/>
      <c r="B6" s="26" t="s">
        <v>28</v>
      </c>
      <c r="C6" s="27">
        <v>0.6</v>
      </c>
      <c r="D6" s="28" t="e">
        <f>+VLOOKUP($B6,'Año 2018 por zona'!$D$3:$M$52,3,FALSE)</f>
        <v>#REF!</v>
      </c>
      <c r="E6" s="29" t="e">
        <f>+VLOOKUP($B6,'Año 2018 por zona'!$D$3:$M$52,4,FALSE)</f>
        <v>#REF!</v>
      </c>
      <c r="F6" s="403" t="e">
        <f>+E6+E7</f>
        <v>#REF!</v>
      </c>
      <c r="G6" s="29" t="e">
        <f>+VLOOKUP($B6,'Año 2018 por zona'!$D$3:$M$52,6,FALSE)</f>
        <v>#REF!</v>
      </c>
      <c r="H6" s="30" t="e">
        <f>+VLOOKUP($B6,'Año 2018 por zona'!$D$3:$M$52,7,FALSE)</f>
        <v>#REF!</v>
      </c>
      <c r="I6" s="406" t="e">
        <f>+H6+H7</f>
        <v>#REF!</v>
      </c>
      <c r="J6" s="31">
        <f t="shared" si="0"/>
        <v>0</v>
      </c>
      <c r="L6" s="60" t="s">
        <v>77</v>
      </c>
      <c r="M6" s="61" t="e">
        <f>+#REF!</f>
        <v>#REF!</v>
      </c>
      <c r="N6" s="62" t="e">
        <f>+#REF!</f>
        <v>#REF!</v>
      </c>
    </row>
    <row r="7" spans="1:14" ht="15.75" thickBot="1">
      <c r="A7" s="408"/>
      <c r="B7" s="26" t="s">
        <v>30</v>
      </c>
      <c r="C7" s="27">
        <v>0.6</v>
      </c>
      <c r="D7" s="28" t="e">
        <f>+VLOOKUP($B7,'Año 2018 por zona'!$D$3:$M$52,3,FALSE)</f>
        <v>#REF!</v>
      </c>
      <c r="E7" s="29" t="e">
        <f>+VLOOKUP($B7,'Año 2018 por zona'!$D$3:$M$52,4,FALSE)</f>
        <v>#REF!</v>
      </c>
      <c r="F7" s="402" t="e">
        <f>[1]ene14!F7+[1]feb14!F7+[1]mar14!F7+#REF!+#REF!+#REF!+#REF!+#REF!+#REF!+#REF!</f>
        <v>#REF!</v>
      </c>
      <c r="G7" s="27" t="e">
        <f>+VLOOKUP($B7,'Año 2018 por zona'!$D$3:$M$52,6,FALSE)</f>
        <v>#REF!</v>
      </c>
      <c r="H7" s="30" t="e">
        <f>+VLOOKUP($B7,'Año 2018 por zona'!$D$3:$M$52,7,FALSE)</f>
        <v>#REF!</v>
      </c>
      <c r="I7" s="405" t="e">
        <f>[1]ene14!I7+[1]feb14!I7+[1]mar14!I7+#REF!+#REF!+#REF!+#REF!+#REF!+#REF!+#REF!</f>
        <v>#REF!</v>
      </c>
      <c r="J7" s="31">
        <f t="shared" si="0"/>
        <v>0</v>
      </c>
      <c r="L7" s="63" t="s">
        <v>78</v>
      </c>
      <c r="M7" s="64" t="e">
        <f>+#REF!</f>
        <v>#REF!</v>
      </c>
      <c r="N7" s="65" t="e">
        <f>+#REF!</f>
        <v>#REF!</v>
      </c>
    </row>
    <row r="8" spans="1:14" ht="15.75" thickBot="1">
      <c r="A8" s="408"/>
      <c r="B8" s="26" t="s">
        <v>40</v>
      </c>
      <c r="C8" s="27">
        <v>0.62</v>
      </c>
      <c r="D8" s="28" t="e">
        <f>+VLOOKUP($B8,'Año 2018 por zona'!$D$3:$M$52,3,FALSE)</f>
        <v>#REF!</v>
      </c>
      <c r="E8" s="29" t="e">
        <f>+VLOOKUP($B8,'Año 2018 por zona'!$D$3:$M$52,4,FALSE)</f>
        <v>#REF!</v>
      </c>
      <c r="F8" s="30" t="e">
        <f>+E8</f>
        <v>#REF!</v>
      </c>
      <c r="G8" s="29" t="e">
        <f>+VLOOKUP($B8,'Año 2018 por zona'!$D$3:$M$52,6,FALSE)</f>
        <v>#REF!</v>
      </c>
      <c r="H8" s="30" t="e">
        <f>+VLOOKUP($B8,'Año 2018 por zona'!$D$3:$M$52,7,FALSE)</f>
        <v>#REF!</v>
      </c>
      <c r="I8" s="29" t="e">
        <f>+H8</f>
        <v>#REF!</v>
      </c>
      <c r="J8" s="31">
        <f t="shared" si="0"/>
        <v>0</v>
      </c>
      <c r="L8" s="60" t="s">
        <v>79</v>
      </c>
      <c r="M8" s="61" t="e">
        <f>+#REF!</f>
        <v>#REF!</v>
      </c>
      <c r="N8" s="62" t="e">
        <f>+#REF!</f>
        <v>#REF!</v>
      </c>
    </row>
    <row r="9" spans="1:14" ht="15.75" thickBot="1">
      <c r="A9" s="408"/>
      <c r="B9" s="26" t="s">
        <v>57</v>
      </c>
      <c r="C9" s="27">
        <v>0.85</v>
      </c>
      <c r="D9" s="28" t="e">
        <f>+VLOOKUP($B9,'Año 2018 por zona'!$D$3:$M$52,3,FALSE)</f>
        <v>#REF!</v>
      </c>
      <c r="E9" s="29" t="e">
        <f>+VLOOKUP($B9,'Año 2018 por zona'!$D$3:$M$52,4,FALSE)</f>
        <v>#REF!</v>
      </c>
      <c r="F9" s="30" t="e">
        <f>E9</f>
        <v>#REF!</v>
      </c>
      <c r="G9" s="29" t="e">
        <f>+VLOOKUP($B9,'Año 2018 por zona'!$D$3:$M$52,6,FALSE)</f>
        <v>#REF!</v>
      </c>
      <c r="H9" s="30" t="e">
        <f>+VLOOKUP($B9,'Año 2018 por zona'!$D$3:$M$52,7,FALSE)</f>
        <v>#REF!</v>
      </c>
      <c r="I9" s="29" t="e">
        <f>+H9</f>
        <v>#REF!</v>
      </c>
      <c r="J9" s="31">
        <f t="shared" si="0"/>
        <v>0</v>
      </c>
      <c r="L9" s="63" t="s">
        <v>80</v>
      </c>
      <c r="M9" s="64" t="e">
        <f>+#REF!</f>
        <v>#REF!</v>
      </c>
      <c r="N9" s="65" t="e">
        <f>+#REF!</f>
        <v>#REF!</v>
      </c>
    </row>
    <row r="10" spans="1:14" ht="15.75" thickBot="1">
      <c r="A10" s="408"/>
      <c r="B10" s="26" t="s">
        <v>43</v>
      </c>
      <c r="C10" s="27">
        <v>0.9</v>
      </c>
      <c r="D10" s="28" t="e">
        <f>+VLOOKUP($B10,'Año 2018 por zona'!$D$3:$M$52,3,FALSE)</f>
        <v>#REF!</v>
      </c>
      <c r="E10" s="29" t="e">
        <f>+VLOOKUP($B10,'Año 2018 por zona'!$D$3:$M$52,4,FALSE)</f>
        <v>#REF!</v>
      </c>
      <c r="F10" s="30" t="e">
        <f>+E10</f>
        <v>#REF!</v>
      </c>
      <c r="G10" s="29" t="e">
        <f>+VLOOKUP($B10,'Año 2018 por zona'!$D$3:$M$52,6,FALSE)</f>
        <v>#REF!</v>
      </c>
      <c r="H10" s="30" t="e">
        <f>+VLOOKUP($B10,'Año 2018 por zona'!$D$3:$M$52,7,FALSE)</f>
        <v>#REF!</v>
      </c>
      <c r="I10" s="29" t="e">
        <f>+H10</f>
        <v>#REF!</v>
      </c>
      <c r="J10" s="31">
        <f t="shared" si="0"/>
        <v>0</v>
      </c>
      <c r="L10" s="60" t="s">
        <v>81</v>
      </c>
      <c r="M10" s="61" t="e">
        <f>+#REF!</f>
        <v>#REF!</v>
      </c>
      <c r="N10" s="62" t="e">
        <f>+#REF!</f>
        <v>#REF!</v>
      </c>
    </row>
    <row r="11" spans="1:14" ht="15.75" thickBot="1">
      <c r="A11" s="408"/>
      <c r="B11" s="26" t="s">
        <v>24</v>
      </c>
      <c r="C11" s="27">
        <v>1.6</v>
      </c>
      <c r="D11" s="28" t="e">
        <f>+VLOOKUP($B11,'Año 2018 por zona'!$D$3:$M$52,3,FALSE)</f>
        <v>#REF!</v>
      </c>
      <c r="E11" s="29" t="e">
        <f>+VLOOKUP($B11,'Año 2018 por zona'!$D$3:$M$52,4,FALSE)</f>
        <v>#REF!</v>
      </c>
      <c r="F11" s="403" t="e">
        <f>+E11+E12</f>
        <v>#REF!</v>
      </c>
      <c r="G11" s="29" t="e">
        <f>+VLOOKUP($B11,'Año 2018 por zona'!$D$3:$M$52,6,FALSE)</f>
        <v>#REF!</v>
      </c>
      <c r="H11" s="30" t="e">
        <f>+VLOOKUP($B11,'Año 2018 por zona'!$D$3:$M$52,7,FALSE)</f>
        <v>#REF!</v>
      </c>
      <c r="I11" s="406" t="e">
        <f>+H11+H12</f>
        <v>#REF!</v>
      </c>
      <c r="J11" s="31">
        <f t="shared" si="0"/>
        <v>0</v>
      </c>
      <c r="L11" s="63" t="s">
        <v>82</v>
      </c>
      <c r="M11" s="64" t="e">
        <f>+#REF!</f>
        <v>#REF!</v>
      </c>
      <c r="N11" s="65" t="e">
        <f>+#REF!</f>
        <v>#REF!</v>
      </c>
    </row>
    <row r="12" spans="1:14" ht="15.75" thickBot="1">
      <c r="A12" s="408"/>
      <c r="B12" s="26" t="s">
        <v>26</v>
      </c>
      <c r="C12" s="27">
        <v>1.6</v>
      </c>
      <c r="D12" s="28" t="e">
        <f>+VLOOKUP($B12,'Año 2018 por zona'!$D$3:$M$52,3,FALSE)</f>
        <v>#REF!</v>
      </c>
      <c r="E12" s="29" t="e">
        <f>+VLOOKUP($B12,'Año 2018 por zona'!$D$3:$M$52,4,FALSE)</f>
        <v>#REF!</v>
      </c>
      <c r="F12" s="402" t="e">
        <f>[1]ene14!F12+[1]feb14!F12+[1]mar14!F12+#REF!+#REF!+#REF!+#REF!+#REF!+#REF!+#REF!+#REF!+#REF!</f>
        <v>#REF!</v>
      </c>
      <c r="G12" s="27" t="e">
        <f>+VLOOKUP($B12,'Año 2018 por zona'!$D$3:$M$52,6,FALSE)</f>
        <v>#REF!</v>
      </c>
      <c r="H12" s="30" t="e">
        <f>+VLOOKUP($B12,'Año 2018 por zona'!$D$3:$M$52,7,FALSE)</f>
        <v>#REF!</v>
      </c>
      <c r="I12" s="405" t="e">
        <f>[1]ene14!I12+[1]feb14!I12+[1]mar14!I12+#REF!+#REF!+#REF!+#REF!+#REF!+#REF!+#REF!</f>
        <v>#REF!</v>
      </c>
      <c r="J12" s="31">
        <f t="shared" si="0"/>
        <v>0</v>
      </c>
      <c r="L12" s="60" t="s">
        <v>83</v>
      </c>
      <c r="M12" s="61" t="e">
        <f>+#REF!</f>
        <v>#REF!</v>
      </c>
      <c r="N12" s="62" t="e">
        <f>+#REF!</f>
        <v>#REF!</v>
      </c>
    </row>
    <row r="13" spans="1:14" ht="15.75" thickBot="1">
      <c r="A13" s="408"/>
      <c r="B13" s="26" t="s">
        <v>66</v>
      </c>
      <c r="C13" s="27">
        <v>1.6</v>
      </c>
      <c r="D13" s="28" t="e">
        <f>+VLOOKUP($B13,'Año 2018 por zona'!$D$3:$M$52,3,FALSE)</f>
        <v>#REF!</v>
      </c>
      <c r="E13" s="29" t="e">
        <f>+VLOOKUP($B13,'Año 2018 por zona'!$D$3:$M$52,4,FALSE)</f>
        <v>#REF!</v>
      </c>
      <c r="F13" s="403" t="e">
        <f>+E13+E14</f>
        <v>#REF!</v>
      </c>
      <c r="G13" s="29" t="e">
        <f>+VLOOKUP($B13,'Año 2018 por zona'!$D$3:$M$52,6,FALSE)</f>
        <v>#REF!</v>
      </c>
      <c r="H13" s="30" t="e">
        <f>+VLOOKUP($B13,'Año 2018 por zona'!$D$3:$M$52,7,FALSE)</f>
        <v>#REF!</v>
      </c>
      <c r="I13" s="406" t="e">
        <f>+H13+H14</f>
        <v>#REF!</v>
      </c>
      <c r="J13" s="31">
        <f t="shared" si="0"/>
        <v>0</v>
      </c>
      <c r="L13" s="63" t="s">
        <v>84</v>
      </c>
      <c r="M13" s="64" t="e">
        <f>+#REF!</f>
        <v>#REF!</v>
      </c>
      <c r="N13" s="65" t="e">
        <f>+#REF!</f>
        <v>#REF!</v>
      </c>
    </row>
    <row r="14" spans="1:14" ht="15.75" thickBot="1">
      <c r="A14" s="408"/>
      <c r="B14" s="26" t="s">
        <v>67</v>
      </c>
      <c r="C14" s="27">
        <v>1.6</v>
      </c>
      <c r="D14" s="28" t="e">
        <f>+VLOOKUP($B14,'Año 2018 por zona'!$D$3:$M$52,3,FALSE)</f>
        <v>#REF!</v>
      </c>
      <c r="E14" s="29" t="e">
        <f>+VLOOKUP($B14,'Año 2018 por zona'!$D$3:$M$52,4,FALSE)</f>
        <v>#REF!</v>
      </c>
      <c r="F14" s="402" t="e">
        <f>[1]ene14!F14+[1]feb14!F14+[1]mar14!F14+#REF!+#REF!+#REF!+#REF!+#REF!+#REF!+#REF!</f>
        <v>#REF!</v>
      </c>
      <c r="G14" s="27" t="e">
        <f>+VLOOKUP($B14,'Año 2018 por zona'!$D$3:$M$52,6,FALSE)</f>
        <v>#REF!</v>
      </c>
      <c r="H14" s="30" t="e">
        <f>+VLOOKUP($B14,'Año 2018 por zona'!$D$3:$M$52,7,FALSE)</f>
        <v>#REF!</v>
      </c>
      <c r="I14" s="405" t="e">
        <f>[1]ene14!I14+[1]feb14!I14+[1]mar14!I14+#REF!+#REF!+#REF!+#REF!+#REF!+#REF!+#REF!</f>
        <v>#REF!</v>
      </c>
      <c r="J14" s="31">
        <f t="shared" si="0"/>
        <v>0</v>
      </c>
      <c r="L14" s="66" t="s">
        <v>85</v>
      </c>
      <c r="M14" s="67" t="e">
        <f>SUM(M2:M13)</f>
        <v>#REF!</v>
      </c>
      <c r="N14" s="67" t="e">
        <f>SUM(N2:N4)</f>
        <v>#REF!</v>
      </c>
    </row>
    <row r="15" spans="1:14" ht="15.75" thickBot="1">
      <c r="A15" s="408"/>
      <c r="B15" s="26" t="s">
        <v>64</v>
      </c>
      <c r="C15" s="27">
        <v>1.95</v>
      </c>
      <c r="D15" s="28" t="e">
        <f>+VLOOKUP($B15,'Año 2018 por zona'!$D$3:$M$52,3,FALSE)</f>
        <v>#REF!</v>
      </c>
      <c r="E15" s="29" t="e">
        <f>+VLOOKUP($B15,'Año 2018 por zona'!$D$3:$M$52,4,FALSE)</f>
        <v>#REF!</v>
      </c>
      <c r="F15" s="403" t="e">
        <f>+E15+E16</f>
        <v>#REF!</v>
      </c>
      <c r="G15" s="29" t="e">
        <f>+VLOOKUP($B15,'Año 2018 por zona'!$D$3:$M$52,6,FALSE)</f>
        <v>#REF!</v>
      </c>
      <c r="H15" s="30" t="e">
        <f>+VLOOKUP($B15,'Año 2018 por zona'!$D$3:$M$52,7,FALSE)</f>
        <v>#REF!</v>
      </c>
      <c r="I15" s="406" t="e">
        <f>+H15+H16</f>
        <v>#REF!</v>
      </c>
      <c r="J15" s="31">
        <f t="shared" si="0"/>
        <v>0</v>
      </c>
    </row>
    <row r="16" spans="1:14" ht="15.75" thickBot="1">
      <c r="A16" s="408"/>
      <c r="B16" s="26" t="s">
        <v>65</v>
      </c>
      <c r="C16" s="27">
        <v>1.95</v>
      </c>
      <c r="D16" s="28" t="e">
        <f>+VLOOKUP($B16,'Año 2018 por zona'!$D$3:$M$52,3,FALSE)</f>
        <v>#REF!</v>
      </c>
      <c r="E16" s="29" t="e">
        <f>+VLOOKUP($B16,'Año 2018 por zona'!$D$3:$M$52,4,FALSE)</f>
        <v>#REF!</v>
      </c>
      <c r="F16" s="402" t="e">
        <f>[1]ene14!F16+[1]feb14!F16+[1]mar14!F16+#REF!+#REF!+#REF!+#REF!+#REF!+#REF!+#REF!</f>
        <v>#REF!</v>
      </c>
      <c r="G16" s="29" t="e">
        <f>+VLOOKUP($B16,'Año 2018 por zona'!$D$3:$M$52,6,FALSE)</f>
        <v>#REF!</v>
      </c>
      <c r="H16" s="30" t="e">
        <f>+VLOOKUP($B16,'Año 2018 por zona'!$D$3:$M$52,7,FALSE)</f>
        <v>#REF!</v>
      </c>
      <c r="I16" s="405" t="e">
        <f>[1]ene14!I16+[1]feb14!I16+[1]mar14!I16+#REF!+#REF!+#REF!+#REF!+#REF!+#REF!+#REF!</f>
        <v>#REF!</v>
      </c>
      <c r="J16" s="31">
        <f t="shared" si="0"/>
        <v>0</v>
      </c>
      <c r="L16" s="13"/>
      <c r="N16" s="13" t="e">
        <f>M14-N14</f>
        <v>#REF!</v>
      </c>
    </row>
    <row r="17" spans="1:14" ht="15.75" thickBot="1">
      <c r="A17" s="33"/>
      <c r="B17" s="26" t="s">
        <v>32</v>
      </c>
      <c r="C17" s="27">
        <v>2.8</v>
      </c>
      <c r="D17" s="28" t="e">
        <f>+VLOOKUP($B17,'Año 2018 por zona'!$D$3:$M$52,3,FALSE)</f>
        <v>#REF!</v>
      </c>
      <c r="E17" s="29" t="e">
        <f>+VLOOKUP($B17,'Año 2018 por zona'!$D$3:$M$52,4,FALSE)</f>
        <v>#REF!</v>
      </c>
      <c r="F17" s="30" t="e">
        <f>+E17</f>
        <v>#REF!</v>
      </c>
      <c r="G17" s="29" t="e">
        <f>+VLOOKUP($B17,'Año 2018 por zona'!$D$3:$M$52,6,FALSE)</f>
        <v>#REF!</v>
      </c>
      <c r="H17" s="30" t="e">
        <f>+VLOOKUP($B17,'Año 2018 por zona'!$D$3:$M$52,7,FALSE)</f>
        <v>#REF!</v>
      </c>
      <c r="I17" s="29" t="e">
        <f>+H17</f>
        <v>#REF!</v>
      </c>
      <c r="J17" s="31">
        <f t="shared" si="0"/>
        <v>0</v>
      </c>
      <c r="L17" s="13"/>
      <c r="N17" s="13"/>
    </row>
    <row r="18" spans="1:14" ht="15.75" thickBot="1">
      <c r="A18" s="394" t="s">
        <v>33</v>
      </c>
      <c r="B18" s="395"/>
      <c r="C18" s="34">
        <f>SUM(C2:C17)</f>
        <v>17.809999999999999</v>
      </c>
      <c r="D18" s="35" t="e">
        <f t="shared" ref="D18:J18" si="1">SUM(D2:D17)</f>
        <v>#REF!</v>
      </c>
      <c r="E18" s="36" t="e">
        <f t="shared" si="1"/>
        <v>#REF!</v>
      </c>
      <c r="F18" s="37" t="e">
        <f>+F2+F3+F4+F6+F8+F9+F10+F11+F13+F15+F17</f>
        <v>#REF!</v>
      </c>
      <c r="G18" s="38" t="e">
        <f t="shared" si="1"/>
        <v>#REF!</v>
      </c>
      <c r="H18" s="38" t="e">
        <f t="shared" si="1"/>
        <v>#REF!</v>
      </c>
      <c r="I18" s="37" t="e">
        <f>+I2+I3+I4+I6+I8+I9+I10+I11+I13+I15+I17</f>
        <v>#REF!</v>
      </c>
      <c r="J18" s="39">
        <f t="shared" si="1"/>
        <v>0</v>
      </c>
      <c r="K18" s="68"/>
      <c r="L18" s="19"/>
      <c r="N18" s="69" t="e">
        <f>N16/N14</f>
        <v>#REF!</v>
      </c>
    </row>
    <row r="19" spans="1:14" ht="15" customHeight="1" thickBot="1">
      <c r="A19" s="398" t="s">
        <v>101</v>
      </c>
      <c r="B19" s="26" t="s">
        <v>62</v>
      </c>
      <c r="C19" s="27">
        <v>4.8499999999999996</v>
      </c>
      <c r="D19" s="28" t="e">
        <f>+VLOOKUP($B19,'Año 2018 por zona'!$D$3:$M$52,3,FALSE)</f>
        <v>#REF!</v>
      </c>
      <c r="E19" s="29" t="e">
        <f>+VLOOKUP($B19,'Año 2018 por zona'!$D$3:$M$52,4,FALSE)</f>
        <v>#REF!</v>
      </c>
      <c r="F19" s="401" t="e">
        <f>+E19+E20</f>
        <v>#REF!</v>
      </c>
      <c r="G19" s="29" t="e">
        <f>+VLOOKUP($B19,'Año 2018 por zona'!$D$3:$M$52,6,FALSE)</f>
        <v>#REF!</v>
      </c>
      <c r="H19" s="30" t="e">
        <f>+VLOOKUP($B19,'Año 2018 por zona'!$D$3:$M$52,7,FALSE)</f>
        <v>#REF!</v>
      </c>
      <c r="I19" s="404" t="e">
        <f>+H19+H20</f>
        <v>#REF!</v>
      </c>
      <c r="J19" s="40">
        <f t="shared" si="0"/>
        <v>0</v>
      </c>
    </row>
    <row r="20" spans="1:14" ht="15.75" thickBot="1">
      <c r="A20" s="399"/>
      <c r="B20" s="26" t="s">
        <v>63</v>
      </c>
      <c r="C20" s="27">
        <v>4.8499999999999996</v>
      </c>
      <c r="D20" s="28" t="e">
        <f>+VLOOKUP($B20,'Año 2018 por zona'!$D$3:$M$52,3,FALSE)</f>
        <v>#REF!</v>
      </c>
      <c r="E20" s="29" t="e">
        <f>+VLOOKUP($B20,'Año 2018 por zona'!$D$3:$M$52,4,FALSE)</f>
        <v>#REF!</v>
      </c>
      <c r="F20" s="402" t="e">
        <f>[1]ene14!F18+[1]feb14!F18+[1]mar14!F18+#REF!+#REF!+#REF!+#REF!+#REF!+#REF!+#REF!</f>
        <v>#REF!</v>
      </c>
      <c r="G20" s="27" t="e">
        <f>+VLOOKUP($B20,'Año 2018 por zona'!$D$3:$M$52,6,FALSE)</f>
        <v>#REF!</v>
      </c>
      <c r="H20" s="30" t="e">
        <f>+VLOOKUP($B20,'Año 2018 por zona'!$D$3:$M$52,7,FALSE)</f>
        <v>#REF!</v>
      </c>
      <c r="I20" s="405" t="e">
        <f>[1]ene14!I18+[1]feb14!I18+[1]mar14!I18+#REF!+#REF!+#REF!+#REF!+#REF!+#REF!+#REF!</f>
        <v>#REF!</v>
      </c>
      <c r="J20" s="31">
        <f t="shared" si="0"/>
        <v>0</v>
      </c>
    </row>
    <row r="21" spans="1:14" ht="15.75" thickBot="1">
      <c r="A21" s="399"/>
      <c r="B21" s="26" t="s">
        <v>60</v>
      </c>
      <c r="C21" s="27">
        <v>6.3</v>
      </c>
      <c r="D21" s="28" t="e">
        <f>+VLOOKUP($B21,'Año 2018 por zona'!$D$3:$M$52,3,FALSE)</f>
        <v>#REF!</v>
      </c>
      <c r="E21" s="29" t="e">
        <f>+VLOOKUP($B21,'Año 2018 por zona'!$D$3:$M$52,4,FALSE)</f>
        <v>#REF!</v>
      </c>
      <c r="F21" s="30" t="e">
        <f>+E21</f>
        <v>#REF!</v>
      </c>
      <c r="G21" s="29" t="e">
        <f>+VLOOKUP($B21,'Año 2018 por zona'!$D$3:$M$52,6,FALSE)</f>
        <v>#REF!</v>
      </c>
      <c r="H21" s="30" t="e">
        <f>+VLOOKUP($B21,'Año 2018 por zona'!$D$3:$M$52,7,FALSE)</f>
        <v>#REF!</v>
      </c>
      <c r="I21" s="29" t="e">
        <f>+H21</f>
        <v>#REF!</v>
      </c>
      <c r="J21" s="31">
        <f t="shared" si="0"/>
        <v>0</v>
      </c>
    </row>
    <row r="22" spans="1:14" ht="15.75" thickBot="1">
      <c r="A22" s="399"/>
      <c r="B22" s="26" t="s">
        <v>61</v>
      </c>
      <c r="C22" s="27">
        <v>7.5</v>
      </c>
      <c r="D22" s="28" t="e">
        <f>+VLOOKUP($B22,'Año 2018 por zona'!$D$3:$M$52,3,FALSE)</f>
        <v>#REF!</v>
      </c>
      <c r="E22" s="29" t="e">
        <f>+VLOOKUP($B22,'Año 2018 por zona'!$D$3:$M$52,4,FALSE)</f>
        <v>#REF!</v>
      </c>
      <c r="F22" s="30" t="e">
        <f>+E22</f>
        <v>#REF!</v>
      </c>
      <c r="G22" s="29" t="e">
        <f>+VLOOKUP($B22,'Año 2018 por zona'!$D$3:$M$52,6,FALSE)</f>
        <v>#REF!</v>
      </c>
      <c r="H22" s="30" t="e">
        <f>+VLOOKUP($B22,'Año 2018 por zona'!$D$3:$M$52,7,FALSE)</f>
        <v>#REF!</v>
      </c>
      <c r="I22" s="29" t="e">
        <f>+H22</f>
        <v>#REF!</v>
      </c>
      <c r="J22" s="31">
        <f t="shared" si="0"/>
        <v>0</v>
      </c>
    </row>
    <row r="23" spans="1:14" ht="15.75" thickBot="1">
      <c r="A23" s="399"/>
      <c r="B23" s="26" t="s">
        <v>36</v>
      </c>
      <c r="C23" s="27">
        <v>8</v>
      </c>
      <c r="D23" s="28" t="e">
        <f>+VLOOKUP($B23,'Año 2018 por zona'!$D$3:$M$52,3,FALSE)</f>
        <v>#REF!</v>
      </c>
      <c r="E23" s="29" t="e">
        <f>+VLOOKUP($B23,'Año 2018 por zona'!$D$3:$M$52,4,FALSE)</f>
        <v>#REF!</v>
      </c>
      <c r="F23" s="30" t="e">
        <f>+E23</f>
        <v>#REF!</v>
      </c>
      <c r="G23" s="29" t="e">
        <f>+VLOOKUP($B23,'Año 2018 por zona'!$D$3:$M$52,6,FALSE)</f>
        <v>#REF!</v>
      </c>
      <c r="H23" s="30" t="e">
        <f>+VLOOKUP($B23,'Año 2018 por zona'!$D$3:$M$52,7,FALSE)</f>
        <v>#REF!</v>
      </c>
      <c r="I23" s="29" t="e">
        <f>+H23</f>
        <v>#REF!</v>
      </c>
      <c r="J23" s="31">
        <f t="shared" si="0"/>
        <v>0</v>
      </c>
    </row>
    <row r="24" spans="1:14" ht="15.75" thickBot="1">
      <c r="A24" s="399"/>
      <c r="B24" s="26" t="s">
        <v>37</v>
      </c>
      <c r="C24" s="27">
        <v>8.4</v>
      </c>
      <c r="D24" s="28" t="e">
        <f>+VLOOKUP($B24,'Año 2018 por zona'!$D$3:$M$52,3,FALSE)</f>
        <v>#REF!</v>
      </c>
      <c r="E24" s="29" t="e">
        <f>+VLOOKUP($B24,'Año 2018 por zona'!$D$3:$M$52,4,FALSE)</f>
        <v>#REF!</v>
      </c>
      <c r="F24" s="30" t="e">
        <f>+E24</f>
        <v>#REF!</v>
      </c>
      <c r="G24" s="29" t="e">
        <f>+VLOOKUP($B24,'Año 2018 por zona'!$D$3:$M$52,6,FALSE)</f>
        <v>#REF!</v>
      </c>
      <c r="H24" s="30" t="e">
        <f>+VLOOKUP($B24,'Año 2018 por zona'!$D$3:$M$52,7,FALSE)</f>
        <v>#REF!</v>
      </c>
      <c r="I24" s="29" t="e">
        <f>+H24</f>
        <v>#REF!</v>
      </c>
      <c r="J24" s="31">
        <f t="shared" si="0"/>
        <v>0</v>
      </c>
    </row>
    <row r="25" spans="1:14" ht="15.75" thickBot="1">
      <c r="A25" s="399"/>
      <c r="B25" s="26" t="s">
        <v>35</v>
      </c>
      <c r="C25" s="27">
        <v>10.1</v>
      </c>
      <c r="D25" s="28" t="e">
        <f>+VLOOKUP($B25,'Año 2018 por zona'!$D$3:$M$52,3,FALSE)</f>
        <v>#REF!</v>
      </c>
      <c r="E25" s="29" t="e">
        <f>+VLOOKUP($B25,'Año 2018 por zona'!$D$3:$M$52,4,FALSE)</f>
        <v>#REF!</v>
      </c>
      <c r="F25" s="30" t="e">
        <f>+E25</f>
        <v>#REF!</v>
      </c>
      <c r="G25" s="29" t="e">
        <f>+VLOOKUP($B25,'Año 2018 por zona'!$D$3:$M$52,6,FALSE)</f>
        <v>#REF!</v>
      </c>
      <c r="H25" s="30" t="e">
        <f>+VLOOKUP($B25,'Año 2018 por zona'!$D$3:$M$52,7,FALSE)</f>
        <v>#REF!</v>
      </c>
      <c r="I25" s="29" t="e">
        <f>+H25</f>
        <v>#REF!</v>
      </c>
      <c r="J25" s="31">
        <f t="shared" si="0"/>
        <v>0</v>
      </c>
    </row>
    <row r="26" spans="1:14" ht="15.75" thickBot="1">
      <c r="A26" s="399"/>
      <c r="B26" s="26" t="s">
        <v>38</v>
      </c>
      <c r="C26" s="27">
        <v>12.5</v>
      </c>
      <c r="D26" s="28" t="e">
        <f>+VLOOKUP($B26,'Año 2018 por zona'!$D$3:$M$52,3,FALSE)</f>
        <v>#REF!</v>
      </c>
      <c r="E26" s="29" t="e">
        <f>+VLOOKUP($B26,'Año 2018 por zona'!$D$3:$M$52,4,FALSE)</f>
        <v>#REF!</v>
      </c>
      <c r="F26" s="403" t="e">
        <f>+E26+E27</f>
        <v>#REF!</v>
      </c>
      <c r="G26" s="29" t="e">
        <f>+VLOOKUP($B26,'Año 2018 por zona'!$D$3:$M$52,6,FALSE)</f>
        <v>#REF!</v>
      </c>
      <c r="H26" s="30" t="e">
        <f>+VLOOKUP($B26,'Año 2018 por zona'!$D$3:$M$52,7,FALSE)</f>
        <v>#REF!</v>
      </c>
      <c r="I26" s="406" t="e">
        <f>+H26+H27</f>
        <v>#REF!</v>
      </c>
      <c r="J26" s="31">
        <f t="shared" si="0"/>
        <v>0</v>
      </c>
    </row>
    <row r="27" spans="1:14" ht="15.75" thickBot="1">
      <c r="A27" s="399"/>
      <c r="B27" s="26" t="s">
        <v>39</v>
      </c>
      <c r="C27" s="27">
        <v>12.5</v>
      </c>
      <c r="D27" s="28" t="e">
        <f>+VLOOKUP($B27,'Año 2018 por zona'!$D$3:$M$52,3,FALSE)</f>
        <v>#REF!</v>
      </c>
      <c r="E27" s="29" t="e">
        <f>+VLOOKUP($B27,'Año 2018 por zona'!$D$3:$M$52,4,FALSE)</f>
        <v>#REF!</v>
      </c>
      <c r="F27" s="402" t="e">
        <f>[1]ene14!F25+[1]feb14!F25+[1]mar14!F25+#REF!+#REF!+#REF!+#REF!+#REF!+#REF!+#REF!</f>
        <v>#REF!</v>
      </c>
      <c r="G27" s="29" t="e">
        <f>+VLOOKUP($B27,'Año 2018 por zona'!$D$3:$M$52,6,FALSE)</f>
        <v>#REF!</v>
      </c>
      <c r="H27" s="30" t="e">
        <f>+VLOOKUP($B27,'Año 2018 por zona'!$D$3:$M$52,7,FALSE)</f>
        <v>#REF!</v>
      </c>
      <c r="I27" s="405"/>
      <c r="J27" s="31">
        <f t="shared" si="0"/>
        <v>0</v>
      </c>
    </row>
    <row r="28" spans="1:14" ht="15.75" thickBot="1">
      <c r="A28" s="399"/>
      <c r="B28" s="26" t="s">
        <v>59</v>
      </c>
      <c r="C28" s="27">
        <v>13</v>
      </c>
      <c r="D28" s="28" t="e">
        <f>+VLOOKUP($B28,'Año 2018 por zona'!$D$3:$M$52,3,FALSE)</f>
        <v>#REF!</v>
      </c>
      <c r="E28" s="29" t="e">
        <f>+VLOOKUP($B28,'Año 2018 por zona'!$D$3:$M$52,4,FALSE)</f>
        <v>#REF!</v>
      </c>
      <c r="F28" s="30" t="e">
        <f>+E28</f>
        <v>#REF!</v>
      </c>
      <c r="G28" s="29" t="e">
        <f>+VLOOKUP($B28,'Año 2018 por zona'!$D$3:$M$52,6,FALSE)</f>
        <v>#REF!</v>
      </c>
      <c r="H28" s="30" t="e">
        <f>+VLOOKUP($B28,'Año 2018 por zona'!$D$3:$M$52,7,FALSE)</f>
        <v>#REF!</v>
      </c>
      <c r="I28" s="29" t="e">
        <f>+H28</f>
        <v>#REF!</v>
      </c>
      <c r="J28" s="31">
        <f t="shared" si="0"/>
        <v>0</v>
      </c>
    </row>
    <row r="29" spans="1:14" ht="15.75" thickBot="1">
      <c r="A29" s="399"/>
      <c r="B29" s="26" t="s">
        <v>19</v>
      </c>
      <c r="C29" s="27">
        <v>18</v>
      </c>
      <c r="D29" s="28" t="e">
        <f>+VLOOKUP($B29,'Año 2018 por zona'!$D$3:$M$52,3,FALSE)</f>
        <v>#REF!</v>
      </c>
      <c r="E29" s="29" t="e">
        <f>+VLOOKUP($B29,'Año 2018 por zona'!$D$3:$M$52,4,FALSE)</f>
        <v>#REF!</v>
      </c>
      <c r="F29" s="30" t="e">
        <f>+E29</f>
        <v>#REF!</v>
      </c>
      <c r="G29" s="29" t="e">
        <f>+VLOOKUP($B29,'Año 2018 por zona'!$D$3:$M$52,6,FALSE)</f>
        <v>#REF!</v>
      </c>
      <c r="H29" s="30" t="e">
        <f>+VLOOKUP($B29,'Año 2018 por zona'!$D$3:$M$52,7,FALSE)</f>
        <v>#REF!</v>
      </c>
      <c r="I29" s="29" t="e">
        <f>+H29</f>
        <v>#REF!</v>
      </c>
      <c r="J29" s="31">
        <f t="shared" si="0"/>
        <v>0</v>
      </c>
      <c r="L29" s="19"/>
    </row>
    <row r="30" spans="1:14" ht="15.75" thickBot="1">
      <c r="A30" s="399"/>
      <c r="B30" s="26" t="s">
        <v>44</v>
      </c>
      <c r="C30" s="27">
        <v>25</v>
      </c>
      <c r="D30" s="28" t="e">
        <f>+VLOOKUP($B30,'Año 2018 por zona'!$D$3:$M$52,3,FALSE)</f>
        <v>#REF!</v>
      </c>
      <c r="E30" s="29" t="e">
        <f>+VLOOKUP($B30,'Año 2018 por zona'!$D$3:$M$52,4,FALSE)</f>
        <v>#REF!</v>
      </c>
      <c r="F30" s="403" t="e">
        <f>+E30+E31</f>
        <v>#REF!</v>
      </c>
      <c r="G30" s="29" t="e">
        <f>+VLOOKUP($B30,'Año 2018 por zona'!$D$3:$M$52,6,FALSE)</f>
        <v>#REF!</v>
      </c>
      <c r="H30" s="30" t="e">
        <f>+VLOOKUP($B30,'Año 2018 por zona'!$D$3:$M$52,7,FALSE)</f>
        <v>#REF!</v>
      </c>
      <c r="I30" s="406" t="e">
        <f>+H30+H31</f>
        <v>#REF!</v>
      </c>
      <c r="J30" s="31">
        <f t="shared" si="0"/>
        <v>0</v>
      </c>
      <c r="L30" s="19"/>
    </row>
    <row r="31" spans="1:14" ht="15.75" thickBot="1">
      <c r="A31" s="399"/>
      <c r="B31" s="26" t="s">
        <v>45</v>
      </c>
      <c r="C31" s="27">
        <v>25</v>
      </c>
      <c r="D31" s="28" t="e">
        <f>+VLOOKUP($B31,'Año 2018 por zona'!$D$3:$M$52,3,FALSE)</f>
        <v>#REF!</v>
      </c>
      <c r="E31" s="29" t="e">
        <f>+VLOOKUP($B31,'Año 2018 por zona'!$D$3:$M$52,4,FALSE)</f>
        <v>#REF!</v>
      </c>
      <c r="F31" s="402" t="e">
        <f>[1]ene14!F29+[1]feb14!F29+[1]mar14!F29+#REF!+#REF!+#REF!+#REF!+#REF!+#REF!+#REF!</f>
        <v>#REF!</v>
      </c>
      <c r="G31" s="27" t="e">
        <f>+VLOOKUP($B31,'Año 2018 por zona'!$D$3:$M$52,6,FALSE)</f>
        <v>#REF!</v>
      </c>
      <c r="H31" s="30" t="e">
        <f>+VLOOKUP($B31,'Año 2018 por zona'!$D$3:$M$52,7,FALSE)</f>
        <v>#REF!</v>
      </c>
      <c r="I31" s="405"/>
      <c r="J31" s="31">
        <f t="shared" si="0"/>
        <v>0</v>
      </c>
      <c r="L31" s="19"/>
    </row>
    <row r="32" spans="1:14" ht="15.75" thickBot="1">
      <c r="A32" s="399"/>
      <c r="B32" s="26" t="s">
        <v>21</v>
      </c>
      <c r="C32" s="27">
        <v>26</v>
      </c>
      <c r="D32" s="28" t="e">
        <f>+VLOOKUP($B32,'Año 2018 por zona'!$D$3:$M$52,3,FALSE)</f>
        <v>#REF!</v>
      </c>
      <c r="E32" s="29" t="e">
        <f>+VLOOKUP($B32,'Año 2018 por zona'!$D$3:$M$52,4,FALSE)</f>
        <v>#REF!</v>
      </c>
      <c r="F32" s="403" t="e">
        <f>+E32+E33</f>
        <v>#REF!</v>
      </c>
      <c r="G32" s="29" t="e">
        <f>+VLOOKUP($B32,'Año 2018 por zona'!$D$3:$M$52,6,FALSE)</f>
        <v>#REF!</v>
      </c>
      <c r="H32" s="30" t="e">
        <f>+VLOOKUP($B32,'Año 2018 por zona'!$D$3:$M$52,7,FALSE)</f>
        <v>#REF!</v>
      </c>
      <c r="I32" s="406" t="e">
        <f>+H32+H33</f>
        <v>#REF!</v>
      </c>
      <c r="J32" s="31">
        <f t="shared" si="0"/>
        <v>0</v>
      </c>
    </row>
    <row r="33" spans="1:11" ht="15.75" thickBot="1">
      <c r="A33" s="399"/>
      <c r="B33" s="26" t="s">
        <v>22</v>
      </c>
      <c r="C33" s="27">
        <v>26</v>
      </c>
      <c r="D33" s="28" t="e">
        <f>+VLOOKUP($B33,'Año 2018 por zona'!$D$3:$M$52,3,FALSE)</f>
        <v>#REF!</v>
      </c>
      <c r="E33" s="29" t="e">
        <f>+VLOOKUP($B33,'Año 2018 por zona'!$D$3:$M$52,4,FALSE)</f>
        <v>#REF!</v>
      </c>
      <c r="F33" s="402" t="e">
        <f>[1]ene14!F31+[1]feb14!F31+[1]mar14!F31+#REF!+#REF!+#REF!+#REF!+#REF!+#REF!+#REF!</f>
        <v>#REF!</v>
      </c>
      <c r="G33" s="27" t="e">
        <f>+VLOOKUP($B33,'Año 2018 por zona'!$D$3:$M$52,6,FALSE)</f>
        <v>#REF!</v>
      </c>
      <c r="H33" s="30" t="e">
        <f>+VLOOKUP($B33,'Año 2018 por zona'!$D$3:$M$52,7,FALSE)</f>
        <v>#REF!</v>
      </c>
      <c r="I33" s="405"/>
      <c r="J33" s="31">
        <f t="shared" si="0"/>
        <v>0</v>
      </c>
    </row>
    <row r="34" spans="1:11" ht="15.75" thickBot="1">
      <c r="A34" s="399"/>
      <c r="B34" s="26" t="s">
        <v>49</v>
      </c>
      <c r="C34" s="27">
        <v>27</v>
      </c>
      <c r="D34" s="28" t="e">
        <f>+VLOOKUP($B34,'Año 2018 por zona'!$D$3:$M$52,3,FALSE)</f>
        <v>#REF!</v>
      </c>
      <c r="E34" s="29" t="e">
        <f>+VLOOKUP($B34,'Año 2018 por zona'!$D$3:$M$52,4,FALSE)</f>
        <v>#REF!</v>
      </c>
      <c r="F34" s="403" t="e">
        <f>+E34+E35</f>
        <v>#REF!</v>
      </c>
      <c r="G34" s="29" t="e">
        <f>+VLOOKUP($B34,'Año 2018 por zona'!$D$3:$M$52,6,FALSE)</f>
        <v>#REF!</v>
      </c>
      <c r="H34" s="30" t="e">
        <f>+VLOOKUP($B34,'Año 2018 por zona'!$D$3:$M$52,7,FALSE)</f>
        <v>#REF!</v>
      </c>
      <c r="I34" s="406" t="e">
        <f>+H34+H35</f>
        <v>#REF!</v>
      </c>
      <c r="J34" s="31">
        <f t="shared" si="0"/>
        <v>0</v>
      </c>
    </row>
    <row r="35" spans="1:11" ht="15.75" thickBot="1">
      <c r="A35" s="400"/>
      <c r="B35" s="41" t="s">
        <v>50</v>
      </c>
      <c r="C35" s="42">
        <v>27</v>
      </c>
      <c r="D35" s="43" t="e">
        <f>+VLOOKUP($B35,'Año 2018 por zona'!$D$3:$M$52,3,FALSE)</f>
        <v>#REF!</v>
      </c>
      <c r="E35" s="44" t="e">
        <f>+VLOOKUP($B35,'Año 2018 por zona'!$D$3:$M$52,4,FALSE)</f>
        <v>#REF!</v>
      </c>
      <c r="F35" s="402" t="e">
        <f>[1]ene14!F33+[1]feb14!F33+[1]mar14!F33+#REF!+#REF!+#REF!+#REF!+#REF!+#REF!+#REF!</f>
        <v>#REF!</v>
      </c>
      <c r="G35" s="42" t="e">
        <f>+VLOOKUP($B35,'Año 2018 por zona'!$D$3:$M$52,6,FALSE)</f>
        <v>#REF!</v>
      </c>
      <c r="H35" s="45" t="e">
        <f>+VLOOKUP($B35,'Año 2018 por zona'!$D$3:$M$52,7,FALSE)</f>
        <v>#REF!</v>
      </c>
      <c r="I35" s="405"/>
      <c r="J35" s="46">
        <f t="shared" si="0"/>
        <v>0</v>
      </c>
    </row>
    <row r="36" spans="1:11" ht="15.75" thickBot="1">
      <c r="A36" s="394" t="s">
        <v>33</v>
      </c>
      <c r="B36" s="395"/>
      <c r="C36" s="47">
        <f>SUM(C19:C35)</f>
        <v>262</v>
      </c>
      <c r="D36" s="48" t="e">
        <f>SUM(D19:D35)</f>
        <v>#REF!</v>
      </c>
      <c r="E36" s="49" t="e">
        <f t="shared" ref="E36:G36" si="2">SUM(E19:E35)</f>
        <v>#REF!</v>
      </c>
      <c r="F36" s="50" t="e">
        <f>+F19+F21+F22+F23+F24+F25+F26+F28+F29+F30+F32+F34</f>
        <v>#REF!</v>
      </c>
      <c r="G36" s="38" t="e">
        <f t="shared" si="2"/>
        <v>#REF!</v>
      </c>
      <c r="H36" s="38" t="e">
        <f t="shared" ref="H36" si="3">SUM(H19:H35)</f>
        <v>#REF!</v>
      </c>
      <c r="I36" s="37" t="e">
        <f>+I19+I21+I22+I23+I24+I25+I26+I28+I29+I30+I32+I34</f>
        <v>#REF!</v>
      </c>
      <c r="J36" s="51">
        <f t="shared" ref="J36" si="4">SUM(J19:J35)</f>
        <v>0</v>
      </c>
      <c r="K36" s="69"/>
    </row>
    <row r="37" spans="1:11" ht="15" customHeight="1" thickBot="1">
      <c r="A37" s="398" t="s">
        <v>102</v>
      </c>
      <c r="B37" s="52" t="s">
        <v>53</v>
      </c>
      <c r="C37" s="27">
        <v>30</v>
      </c>
      <c r="D37" s="28" t="e">
        <f>+VLOOKUP($B37,'Año 2018 por zona'!$D$3:$M$52,3,FALSE)</f>
        <v>#REF!</v>
      </c>
      <c r="E37" s="29" t="e">
        <f>+VLOOKUP($B37,'Año 2018 por zona'!$D$3:$M$52,4,FALSE)</f>
        <v>#REF!</v>
      </c>
      <c r="F37" s="401" t="e">
        <f>+E37+E38</f>
        <v>#REF!</v>
      </c>
      <c r="G37" s="29" t="e">
        <f>+VLOOKUP($B37,'Año 2018 por zona'!$D$3:$M$52,6,FALSE)</f>
        <v>#REF!</v>
      </c>
      <c r="H37" s="30" t="e">
        <f>+VLOOKUP($B37,'Año 2018 por zona'!$D$3:$M$52,7,FALSE)</f>
        <v>#REF!</v>
      </c>
      <c r="I37" s="404" t="e">
        <f>+H37+H38</f>
        <v>#REF!</v>
      </c>
      <c r="J37" s="31">
        <f>IFERROR((E37/1000)/D37,0)</f>
        <v>0</v>
      </c>
    </row>
    <row r="38" spans="1:11" ht="15.75" thickBot="1">
      <c r="A38" s="399"/>
      <c r="B38" s="52" t="s">
        <v>54</v>
      </c>
      <c r="C38" s="27">
        <v>30</v>
      </c>
      <c r="D38" s="28" t="e">
        <f>+VLOOKUP($B38,'Año 2018 por zona'!$D$3:$M$52,3,FALSE)</f>
        <v>#REF!</v>
      </c>
      <c r="E38" s="29" t="e">
        <f>+VLOOKUP($B38,'Año 2018 por zona'!$D$3:$M$52,4,FALSE)</f>
        <v>#REF!</v>
      </c>
      <c r="F38" s="402" t="e">
        <f>[1]ene14!F35+[1]feb14!F35+[1]mar14!F35+#REF!+#REF!+#REF!+#REF!+#REF!+#REF!+#REF!</f>
        <v>#REF!</v>
      </c>
      <c r="G38" s="29" t="e">
        <f>+VLOOKUP($B38,'Año 2018 por zona'!$D$3:$M$52,6,FALSE)</f>
        <v>#REF!</v>
      </c>
      <c r="H38" s="30" t="e">
        <f>+VLOOKUP($B38,'Año 2018 por zona'!$D$3:$M$52,7,FALSE)</f>
        <v>#REF!</v>
      </c>
      <c r="I38" s="405"/>
      <c r="J38" s="31">
        <f t="shared" si="0"/>
        <v>0</v>
      </c>
    </row>
    <row r="39" spans="1:11" ht="15.75" thickBot="1">
      <c r="A39" s="399"/>
      <c r="B39" s="52" t="s">
        <v>103</v>
      </c>
      <c r="C39" s="27">
        <v>40</v>
      </c>
      <c r="D39" s="28" t="e">
        <f>+VLOOKUP($B39,'Año 2018 por zona'!$D$3:$M$52,3,FALSE)</f>
        <v>#REF!</v>
      </c>
      <c r="E39" s="29" t="e">
        <f>+VLOOKUP($B39,'Año 2018 por zona'!$D$3:$M$52,4,FALSE)</f>
        <v>#REF!</v>
      </c>
      <c r="F39" s="403" t="e">
        <f>+E39+E40</f>
        <v>#REF!</v>
      </c>
      <c r="G39" s="29" t="e">
        <f>+VLOOKUP($B39,'Año 2018 por zona'!$D$3:$M$52,6,FALSE)</f>
        <v>#REF!</v>
      </c>
      <c r="H39" s="30" t="e">
        <f>+VLOOKUP($B39,'Año 2018 por zona'!$D$3:$M$52,7,FALSE)</f>
        <v>#REF!</v>
      </c>
      <c r="I39" s="406" t="e">
        <f t="shared" ref="I39" si="5">+H39+H40</f>
        <v>#REF!</v>
      </c>
      <c r="J39" s="31">
        <f t="shared" si="0"/>
        <v>0</v>
      </c>
    </row>
    <row r="40" spans="1:11" ht="15.75" thickBot="1">
      <c r="A40" s="399"/>
      <c r="B40" s="52" t="s">
        <v>104</v>
      </c>
      <c r="C40" s="27">
        <v>40</v>
      </c>
      <c r="D40" s="28" t="e">
        <f>+VLOOKUP($B40,'Año 2018 por zona'!$D$3:$M$52,3,FALSE)</f>
        <v>#REF!</v>
      </c>
      <c r="E40" s="29" t="e">
        <f>+VLOOKUP($B40,'Año 2018 por zona'!$D$3:$M$52,4,FALSE)</f>
        <v>#REF!</v>
      </c>
      <c r="F40" s="402" t="e">
        <f>[1]ene14!F37+[1]feb14!F37+[1]mar14!F37+#REF!+#REF!+#REF!+#REF!+#REF!+#REF!+#REF!</f>
        <v>#REF!</v>
      </c>
      <c r="G40" s="27" t="e">
        <f>+VLOOKUP($B40,'Año 2018 por zona'!$D$3:$M$52,6,FALSE)</f>
        <v>#REF!</v>
      </c>
      <c r="H40" s="30" t="e">
        <f>+VLOOKUP($B40,'Año 2018 por zona'!$D$3:$M$52,7,FALSE)</f>
        <v>#REF!</v>
      </c>
      <c r="I40" s="405"/>
      <c r="J40" s="31">
        <f t="shared" si="0"/>
        <v>0</v>
      </c>
    </row>
    <row r="41" spans="1:11" ht="15.75" thickBot="1">
      <c r="A41" s="399"/>
      <c r="B41" s="52" t="s">
        <v>14</v>
      </c>
      <c r="C41" s="27">
        <v>48</v>
      </c>
      <c r="D41" s="28" t="e">
        <f>+VLOOKUP($B41,'Año 2018 por zona'!$D$3:$M$52,3,FALSE)</f>
        <v>#REF!</v>
      </c>
      <c r="E41" s="29" t="e">
        <f>+VLOOKUP($B41,'Año 2018 por zona'!$D$3:$M$52,4,FALSE)</f>
        <v>#REF!</v>
      </c>
      <c r="F41" s="403" t="e">
        <f>+E41+E42</f>
        <v>#REF!</v>
      </c>
      <c r="G41" s="29" t="e">
        <f>+VLOOKUP($B41,'Año 2018 por zona'!$D$3:$M$52,6,FALSE)</f>
        <v>#REF!</v>
      </c>
      <c r="H41" s="30" t="e">
        <f>+VLOOKUP($B41,'Año 2018 por zona'!$D$3:$M$52,7,FALSE)</f>
        <v>#REF!</v>
      </c>
      <c r="I41" s="406" t="e">
        <f t="shared" ref="I41" si="6">+H41+H42</f>
        <v>#REF!</v>
      </c>
      <c r="J41" s="31">
        <f t="shared" si="0"/>
        <v>0</v>
      </c>
    </row>
    <row r="42" spans="1:11" ht="15.75" thickBot="1">
      <c r="A42" s="399"/>
      <c r="B42" s="52" t="s">
        <v>17</v>
      </c>
      <c r="C42" s="27">
        <v>48</v>
      </c>
      <c r="D42" s="28" t="e">
        <f>+VLOOKUP($B42,'Año 2018 por zona'!$D$3:$M$52,3,FALSE)</f>
        <v>#REF!</v>
      </c>
      <c r="E42" s="29" t="e">
        <f>+VLOOKUP($B42,'Año 2018 por zona'!$D$3:$M$52,4,FALSE)</f>
        <v>#REF!</v>
      </c>
      <c r="F42" s="402" t="e">
        <f>[1]ene14!F39+[1]feb14!F39+[1]mar14!F39+#REF!+#REF!+#REF!+#REF!+#REF!+#REF!+#REF!</f>
        <v>#REF!</v>
      </c>
      <c r="G42" s="27" t="e">
        <f>+VLOOKUP($B42,'Año 2018 por zona'!$D$3:$M$52,6,FALSE)</f>
        <v>#REF!</v>
      </c>
      <c r="H42" s="30" t="e">
        <f>+VLOOKUP($B42,'Año 2018 por zona'!$D$3:$M$52,7,FALSE)</f>
        <v>#REF!</v>
      </c>
      <c r="I42" s="405"/>
      <c r="J42" s="31">
        <f t="shared" si="0"/>
        <v>0</v>
      </c>
    </row>
    <row r="43" spans="1:11" ht="15.75" thickBot="1">
      <c r="A43" s="399"/>
      <c r="B43" s="52" t="s">
        <v>51</v>
      </c>
      <c r="C43" s="27">
        <v>49</v>
      </c>
      <c r="D43" s="28" t="e">
        <f>+VLOOKUP($B43,'Año 2018 por zona'!$D$3:$M$52,3,FALSE)</f>
        <v>#REF!</v>
      </c>
      <c r="E43" s="29" t="e">
        <f>+VLOOKUP($B43,'Año 2018 por zona'!$D$3:$M$52,4,FALSE)</f>
        <v>#REF!</v>
      </c>
      <c r="F43" s="403" t="e">
        <f>+E43+E44</f>
        <v>#REF!</v>
      </c>
      <c r="G43" s="27" t="e">
        <f>+VLOOKUP($B43,'Año 2018 por zona'!$D$3:$M$52,6,FALSE)</f>
        <v>#REF!</v>
      </c>
      <c r="H43" s="30" t="e">
        <f>+VLOOKUP($B43,'Año 2018 por zona'!$D$3:$M$52,7,FALSE)</f>
        <v>#REF!</v>
      </c>
      <c r="I43" s="406" t="e">
        <f t="shared" ref="I43" si="7">+H43+H44</f>
        <v>#REF!</v>
      </c>
      <c r="J43" s="31">
        <f t="shared" si="0"/>
        <v>0</v>
      </c>
    </row>
    <row r="44" spans="1:11" ht="15.75" thickBot="1">
      <c r="A44" s="400"/>
      <c r="B44" s="53" t="s">
        <v>52</v>
      </c>
      <c r="C44" s="42">
        <v>49</v>
      </c>
      <c r="D44" s="28" t="e">
        <f>+VLOOKUP($B44,'Año 2018 por zona'!$D$3:$M$52,3,FALSE)</f>
        <v>#REF!</v>
      </c>
      <c r="E44" s="29" t="e">
        <f>+VLOOKUP($B44,'Año 2018 por zona'!$D$3:$M$52,4,FALSE)</f>
        <v>#REF!</v>
      </c>
      <c r="F44" s="402" t="e">
        <f>[1]ene14!F41+[1]feb14!F41+[1]mar14!F41+#REF!+#REF!+#REF!+#REF!+#REF!+#REF!+#REF!</f>
        <v>#REF!</v>
      </c>
      <c r="G44" s="44" t="e">
        <f>+VLOOKUP($B44,'Año 2018 por zona'!$D$3:$M$52,6,FALSE)</f>
        <v>#REF!</v>
      </c>
      <c r="H44" s="45" t="e">
        <f>+VLOOKUP($B44,'Año 2018 por zona'!$D$3:$M$52,7,FALSE)</f>
        <v>#REF!</v>
      </c>
      <c r="I44" s="405"/>
      <c r="J44" s="46">
        <f t="shared" si="0"/>
        <v>0</v>
      </c>
    </row>
    <row r="45" spans="1:11" ht="15.75" thickBot="1">
      <c r="A45" s="394" t="s">
        <v>33</v>
      </c>
      <c r="B45" s="395"/>
      <c r="C45" s="47">
        <f>SUM(C37:C44)</f>
        <v>334</v>
      </c>
      <c r="D45" s="48" t="e">
        <f t="shared" ref="D45:J45" si="8">SUM(D37:D44)</f>
        <v>#REF!</v>
      </c>
      <c r="E45" s="49" t="e">
        <f t="shared" si="8"/>
        <v>#REF!</v>
      </c>
      <c r="F45" s="50" t="e">
        <f>+F37+F39+F41+F43</f>
        <v>#REF!</v>
      </c>
      <c r="G45" s="38" t="e">
        <f t="shared" si="8"/>
        <v>#REF!</v>
      </c>
      <c r="H45" s="54" t="e">
        <f t="shared" si="8"/>
        <v>#REF!</v>
      </c>
      <c r="I45" s="50" t="e">
        <f t="shared" si="8"/>
        <v>#REF!</v>
      </c>
      <c r="J45" s="51">
        <f t="shared" si="8"/>
        <v>0</v>
      </c>
      <c r="K45" s="69"/>
    </row>
    <row r="46" spans="1:11" ht="15.75" thickBot="1">
      <c r="A46" s="396" t="s">
        <v>89</v>
      </c>
      <c r="B46" s="397"/>
      <c r="C46" s="55">
        <f>+C18+C36+C45</f>
        <v>613.80999999999995</v>
      </c>
      <c r="D46" s="56" t="e">
        <f>+D18+D36+D45</f>
        <v>#REF!</v>
      </c>
      <c r="E46" s="57" t="e">
        <f>+E18+E36+E45</f>
        <v>#REF!</v>
      </c>
      <c r="F46" s="57" t="e">
        <f t="shared" ref="F46:J46" si="9">+F18+F36+F45</f>
        <v>#REF!</v>
      </c>
      <c r="G46" s="57" t="e">
        <f t="shared" si="9"/>
        <v>#REF!</v>
      </c>
      <c r="H46" s="57" t="e">
        <f t="shared" si="9"/>
        <v>#REF!</v>
      </c>
      <c r="I46" s="57" t="e">
        <f t="shared" si="9"/>
        <v>#REF!</v>
      </c>
      <c r="J46" s="58">
        <f t="shared" si="9"/>
        <v>0</v>
      </c>
    </row>
    <row r="47" spans="1:11">
      <c r="D47" s="13" t="e">
        <f>+D46-'Año 2018 por zona'!F53</f>
        <v>#REF!</v>
      </c>
      <c r="E47" s="13" t="e">
        <f>+E46-'Año 2018 por zona'!G53</f>
        <v>#REF!</v>
      </c>
      <c r="F47" s="13" t="e">
        <f>+F46-'Año 2018 por zona'!H53</f>
        <v>#REF!</v>
      </c>
      <c r="G47" s="13" t="e">
        <f>+G46-'Año 2018 por zona'!I53</f>
        <v>#REF!</v>
      </c>
      <c r="H47" s="13" t="e">
        <f>+H46-'Año 2018 por zona'!J53</f>
        <v>#REF!</v>
      </c>
      <c r="I47" s="13" t="e">
        <f>+I46-'Año 2018 por zona'!K53</f>
        <v>#REF!</v>
      </c>
      <c r="J47" s="13">
        <f>+J46-'Año 2018 por zona'!L53</f>
        <v>0</v>
      </c>
    </row>
    <row r="48" spans="1:11" ht="30.75" customHeight="1">
      <c r="B48" s="11" t="s">
        <v>86</v>
      </c>
      <c r="C48" s="11" t="s">
        <v>87</v>
      </c>
      <c r="D48" s="11" t="s">
        <v>88</v>
      </c>
      <c r="E48" s="11" t="s">
        <v>107</v>
      </c>
      <c r="G48" t="s">
        <v>176</v>
      </c>
      <c r="H48" t="s">
        <v>177</v>
      </c>
    </row>
    <row r="49" spans="2:9">
      <c r="B49" t="s">
        <v>73</v>
      </c>
      <c r="C49" s="12">
        <f>24*D49</f>
        <v>744</v>
      </c>
      <c r="D49" s="12">
        <v>31</v>
      </c>
      <c r="E49" s="13">
        <f>+Ene!M10</f>
        <v>14674.509999999998</v>
      </c>
      <c r="F49" s="13"/>
      <c r="G49" s="18" t="s">
        <v>98</v>
      </c>
      <c r="H49" s="19" t="e">
        <f>+$E$41+$E$42</f>
        <v>#REF!</v>
      </c>
      <c r="I49" s="69" t="e">
        <f>+H49/$E$46</f>
        <v>#REF!</v>
      </c>
    </row>
    <row r="50" spans="2:9">
      <c r="B50" t="s">
        <v>74</v>
      </c>
      <c r="C50" s="12">
        <f t="shared" ref="C50:C60" si="10">24*D50</f>
        <v>672</v>
      </c>
      <c r="D50" s="12">
        <v>28</v>
      </c>
      <c r="E50" s="13">
        <f>+Feb!M10</f>
        <v>12272.36</v>
      </c>
      <c r="G50" s="18" t="s">
        <v>96</v>
      </c>
      <c r="H50" s="19" t="e">
        <f>+$E$37+$E$38</f>
        <v>#REF!</v>
      </c>
      <c r="I50" s="69" t="e">
        <f t="shared" ref="I50:I58" si="11">+H50/$E$46</f>
        <v>#REF!</v>
      </c>
    </row>
    <row r="51" spans="2:9">
      <c r="B51" t="s">
        <v>75</v>
      </c>
      <c r="C51" s="12">
        <f t="shared" si="10"/>
        <v>744</v>
      </c>
      <c r="D51" s="12">
        <v>31</v>
      </c>
      <c r="E51" s="13">
        <f>+Mar!M10</f>
        <v>14600.45</v>
      </c>
      <c r="G51" s="18" t="s">
        <v>99</v>
      </c>
      <c r="H51" s="19" t="e">
        <f>+$E$43+$E$44</f>
        <v>#REF!</v>
      </c>
      <c r="I51" s="69" t="e">
        <f t="shared" si="11"/>
        <v>#REF!</v>
      </c>
    </row>
    <row r="52" spans="2:9">
      <c r="B52" t="s">
        <v>76</v>
      </c>
      <c r="C52" s="12">
        <f t="shared" si="10"/>
        <v>720</v>
      </c>
      <c r="D52" s="12">
        <v>30</v>
      </c>
      <c r="E52" s="13"/>
      <c r="G52" s="18" t="s">
        <v>97</v>
      </c>
      <c r="H52" s="19" t="e">
        <f>+$E$39+$E$40</f>
        <v>#REF!</v>
      </c>
      <c r="I52" s="69" t="e">
        <f t="shared" si="11"/>
        <v>#REF!</v>
      </c>
    </row>
    <row r="53" spans="2:9">
      <c r="B53" t="s">
        <v>77</v>
      </c>
      <c r="C53" s="12">
        <f t="shared" si="10"/>
        <v>744</v>
      </c>
      <c r="D53" s="12">
        <v>31</v>
      </c>
      <c r="E53" s="13"/>
      <c r="G53" s="18" t="s">
        <v>92</v>
      </c>
      <c r="H53" s="19" t="e">
        <f>+$E$26+$E$27</f>
        <v>#REF!</v>
      </c>
      <c r="I53" s="69" t="e">
        <f t="shared" si="11"/>
        <v>#REF!</v>
      </c>
    </row>
    <row r="54" spans="2:9">
      <c r="B54" t="s">
        <v>78</v>
      </c>
      <c r="C54" s="12">
        <f t="shared" si="10"/>
        <v>720</v>
      </c>
      <c r="D54" s="12">
        <v>30</v>
      </c>
      <c r="E54" s="13"/>
      <c r="G54" s="18" t="s">
        <v>93</v>
      </c>
      <c r="H54" s="19" t="e">
        <f>+$E$30+$E$31</f>
        <v>#REF!</v>
      </c>
      <c r="I54" s="69" t="e">
        <f t="shared" si="11"/>
        <v>#REF!</v>
      </c>
    </row>
    <row r="55" spans="2:9">
      <c r="B55" t="s">
        <v>79</v>
      </c>
      <c r="C55" s="12">
        <f t="shared" si="10"/>
        <v>744</v>
      </c>
      <c r="D55" s="12">
        <v>31</v>
      </c>
      <c r="E55" s="13"/>
      <c r="G55" s="18" t="s">
        <v>94</v>
      </c>
      <c r="H55" s="19" t="e">
        <f>+$E$32+$E$33</f>
        <v>#REF!</v>
      </c>
      <c r="I55" s="69" t="e">
        <f t="shared" si="11"/>
        <v>#REF!</v>
      </c>
    </row>
    <row r="56" spans="2:9">
      <c r="B56" t="s">
        <v>80</v>
      </c>
      <c r="C56" s="12">
        <f t="shared" si="10"/>
        <v>744</v>
      </c>
      <c r="D56" s="12">
        <v>31</v>
      </c>
      <c r="E56" s="13"/>
      <c r="G56" s="18" t="s">
        <v>95</v>
      </c>
      <c r="H56" s="19" t="e">
        <f>+$E$34+$E$35</f>
        <v>#REF!</v>
      </c>
      <c r="I56" s="69" t="e">
        <f t="shared" si="11"/>
        <v>#REF!</v>
      </c>
    </row>
    <row r="57" spans="2:9">
      <c r="B57" t="s">
        <v>81</v>
      </c>
      <c r="C57" s="12">
        <f t="shared" si="10"/>
        <v>720</v>
      </c>
      <c r="D57" s="12">
        <v>30</v>
      </c>
      <c r="E57" s="13"/>
      <c r="G57" s="18" t="s">
        <v>36</v>
      </c>
      <c r="H57" s="19" t="e">
        <f>+$E$23</f>
        <v>#REF!</v>
      </c>
      <c r="I57" s="69" t="e">
        <f t="shared" si="11"/>
        <v>#REF!</v>
      </c>
    </row>
    <row r="58" spans="2:9">
      <c r="B58" t="s">
        <v>82</v>
      </c>
      <c r="C58" s="12">
        <f t="shared" si="10"/>
        <v>744</v>
      </c>
      <c r="D58" s="12">
        <v>31</v>
      </c>
      <c r="E58" s="13"/>
      <c r="G58" s="18" t="s">
        <v>19</v>
      </c>
      <c r="H58" s="19" t="e">
        <f>+$E$29</f>
        <v>#REF!</v>
      </c>
      <c r="I58" s="69" t="e">
        <f t="shared" si="11"/>
        <v>#REF!</v>
      </c>
    </row>
    <row r="59" spans="2:9">
      <c r="B59" t="s">
        <v>83</v>
      </c>
      <c r="C59" s="12">
        <f t="shared" si="10"/>
        <v>720</v>
      </c>
      <c r="D59" s="12">
        <v>30</v>
      </c>
      <c r="E59" s="13"/>
      <c r="G59" s="18" t="s">
        <v>37</v>
      </c>
      <c r="H59" s="19" t="e">
        <f>+$E$24</f>
        <v>#REF!</v>
      </c>
    </row>
    <row r="60" spans="2:9">
      <c r="B60" t="s">
        <v>84</v>
      </c>
      <c r="C60" s="12">
        <f t="shared" si="10"/>
        <v>744</v>
      </c>
      <c r="D60" s="12">
        <v>31</v>
      </c>
      <c r="E60" s="13"/>
      <c r="G60" s="18" t="s">
        <v>59</v>
      </c>
      <c r="H60" s="19" t="e">
        <f>+$E$28</f>
        <v>#REF!</v>
      </c>
    </row>
    <row r="61" spans="2:9">
      <c r="B61" s="14" t="s">
        <v>89</v>
      </c>
      <c r="C61" s="15">
        <f>SUM(C49:C60)</f>
        <v>8760</v>
      </c>
      <c r="D61" s="16">
        <f>SUM(D49:D60)</f>
        <v>365</v>
      </c>
      <c r="E61" s="17">
        <f>SUM(E49:E60)</f>
        <v>41547.32</v>
      </c>
      <c r="G61" s="18" t="s">
        <v>90</v>
      </c>
      <c r="H61" s="19" t="e">
        <f>SUM($E$2:$E$17)</f>
        <v>#REF!</v>
      </c>
    </row>
    <row r="62" spans="2:9">
      <c r="G62" s="18" t="s">
        <v>91</v>
      </c>
      <c r="H62" s="19" t="e">
        <f>+$E$19+$E$20</f>
        <v>#REF!</v>
      </c>
    </row>
    <row r="63" spans="2:9">
      <c r="B63" s="13">
        <f>COUNTIF(D2:D44,"&gt;2000")-2</f>
        <v>-2</v>
      </c>
      <c r="C63">
        <f>COUNTIF(D2:D44,"&gt;500")</f>
        <v>0</v>
      </c>
      <c r="D63">
        <f>COUNTIF(D2:D44,"&gt;5000")</f>
        <v>0</v>
      </c>
      <c r="E63">
        <f>COUNTIF(D2:D44,"&gt;4000")</f>
        <v>0</v>
      </c>
      <c r="G63" s="18" t="s">
        <v>60</v>
      </c>
      <c r="H63" s="19" t="e">
        <f>+$E$21</f>
        <v>#REF!</v>
      </c>
    </row>
    <row r="64" spans="2:9">
      <c r="G64" s="18" t="s">
        <v>35</v>
      </c>
      <c r="H64" s="19" t="e">
        <f>+$E$25</f>
        <v>#REF!</v>
      </c>
    </row>
    <row r="65" spans="2:8">
      <c r="E65" s="70"/>
      <c r="G65" s="18" t="s">
        <v>61</v>
      </c>
      <c r="H65" s="19" t="e">
        <f>+$E$22</f>
        <v>#REF!</v>
      </c>
    </row>
    <row r="66" spans="2:8">
      <c r="E66" s="13"/>
      <c r="G66" s="18"/>
      <c r="H66" s="19"/>
    </row>
    <row r="67" spans="2:8">
      <c r="E67" s="13"/>
      <c r="G67" s="18"/>
      <c r="H67" s="19"/>
    </row>
    <row r="68" spans="2:8">
      <c r="B68" t="s">
        <v>2</v>
      </c>
      <c r="C68" t="s">
        <v>174</v>
      </c>
    </row>
    <row r="69" spans="2:8">
      <c r="B69" t="s">
        <v>19</v>
      </c>
      <c r="C69" s="13" t="e">
        <f t="shared" ref="C69:C109" si="12">+VLOOKUP(B69,$B$2:$J$44,3,FALSE)</f>
        <v>#REF!</v>
      </c>
    </row>
    <row r="70" spans="2:8">
      <c r="B70" t="s">
        <v>37</v>
      </c>
      <c r="C70" s="13" t="e">
        <f t="shared" si="12"/>
        <v>#REF!</v>
      </c>
    </row>
    <row r="71" spans="2:8">
      <c r="B71" t="s">
        <v>59</v>
      </c>
      <c r="C71" s="13" t="e">
        <f t="shared" si="12"/>
        <v>#REF!</v>
      </c>
    </row>
    <row r="72" spans="2:8">
      <c r="B72" t="s">
        <v>61</v>
      </c>
      <c r="C72" s="13" t="e">
        <f t="shared" si="12"/>
        <v>#REF!</v>
      </c>
    </row>
    <row r="73" spans="2:8">
      <c r="B73" t="s">
        <v>36</v>
      </c>
      <c r="C73" s="13" t="e">
        <f t="shared" si="12"/>
        <v>#REF!</v>
      </c>
    </row>
    <row r="74" spans="2:8">
      <c r="B74" t="s">
        <v>38</v>
      </c>
      <c r="C74" s="13" t="e">
        <f t="shared" si="12"/>
        <v>#REF!</v>
      </c>
    </row>
    <row r="75" spans="2:8">
      <c r="B75" t="s">
        <v>63</v>
      </c>
      <c r="C75" s="13" t="e">
        <f t="shared" si="12"/>
        <v>#REF!</v>
      </c>
    </row>
    <row r="76" spans="2:8">
      <c r="B76" t="s">
        <v>57</v>
      </c>
      <c r="C76" s="13" t="e">
        <f t="shared" si="12"/>
        <v>#REF!</v>
      </c>
    </row>
    <row r="77" spans="2:8">
      <c r="B77" t="s">
        <v>32</v>
      </c>
      <c r="C77" s="13" t="e">
        <f t="shared" si="12"/>
        <v>#REF!</v>
      </c>
    </row>
    <row r="78" spans="2:8">
      <c r="B78" t="s">
        <v>24</v>
      </c>
      <c r="C78" s="13" t="e">
        <f t="shared" si="12"/>
        <v>#REF!</v>
      </c>
    </row>
    <row r="79" spans="2:8">
      <c r="B79" t="s">
        <v>60</v>
      </c>
      <c r="C79" s="13" t="e">
        <f t="shared" si="12"/>
        <v>#REF!</v>
      </c>
    </row>
    <row r="80" spans="2:8">
      <c r="B80" t="s">
        <v>39</v>
      </c>
      <c r="C80" s="13" t="e">
        <f t="shared" si="12"/>
        <v>#REF!</v>
      </c>
    </row>
    <row r="81" spans="2:3">
      <c r="B81" t="s">
        <v>62</v>
      </c>
      <c r="C81" s="13" t="e">
        <f t="shared" si="12"/>
        <v>#REF!</v>
      </c>
    </row>
    <row r="82" spans="2:3">
      <c r="B82" t="s">
        <v>40</v>
      </c>
      <c r="C82" s="13" t="e">
        <f t="shared" si="12"/>
        <v>#REF!</v>
      </c>
    </row>
    <row r="83" spans="2:3">
      <c r="B83" t="s">
        <v>26</v>
      </c>
      <c r="C83" s="13" t="e">
        <f t="shared" si="12"/>
        <v>#REF!</v>
      </c>
    </row>
    <row r="84" spans="2:3">
      <c r="B84" t="s">
        <v>54</v>
      </c>
      <c r="C84" s="13" t="e">
        <f t="shared" si="12"/>
        <v>#REF!</v>
      </c>
    </row>
    <row r="85" spans="2:3">
      <c r="B85" t="s">
        <v>21</v>
      </c>
      <c r="C85" s="13" t="e">
        <f t="shared" si="12"/>
        <v>#REF!</v>
      </c>
    </row>
    <row r="86" spans="2:3">
      <c r="B86" t="s">
        <v>65</v>
      </c>
      <c r="C86" s="13" t="e">
        <f t="shared" si="12"/>
        <v>#REF!</v>
      </c>
    </row>
    <row r="87" spans="2:3">
      <c r="B87" t="s">
        <v>64</v>
      </c>
      <c r="C87" s="13" t="e">
        <f t="shared" si="12"/>
        <v>#REF!</v>
      </c>
    </row>
    <row r="88" spans="2:3">
      <c r="B88" t="s">
        <v>22</v>
      </c>
      <c r="C88" s="13" t="e">
        <f t="shared" si="12"/>
        <v>#REF!</v>
      </c>
    </row>
    <row r="89" spans="2:3">
      <c r="B89" t="s">
        <v>53</v>
      </c>
      <c r="C89" s="13" t="e">
        <f t="shared" si="12"/>
        <v>#REF!</v>
      </c>
    </row>
    <row r="90" spans="2:3">
      <c r="B90" t="s">
        <v>14</v>
      </c>
      <c r="C90" s="13" t="e">
        <f t="shared" si="12"/>
        <v>#REF!</v>
      </c>
    </row>
    <row r="91" spans="2:3">
      <c r="B91" t="s">
        <v>17</v>
      </c>
      <c r="C91" s="13" t="e">
        <f t="shared" si="12"/>
        <v>#REF!</v>
      </c>
    </row>
    <row r="92" spans="2:3">
      <c r="B92" t="s">
        <v>44</v>
      </c>
      <c r="C92" s="13" t="e">
        <f t="shared" si="12"/>
        <v>#REF!</v>
      </c>
    </row>
    <row r="93" spans="2:3">
      <c r="B93" t="s">
        <v>35</v>
      </c>
      <c r="C93" s="13" t="e">
        <f t="shared" si="12"/>
        <v>#REF!</v>
      </c>
    </row>
    <row r="94" spans="2:3">
      <c r="B94" t="s">
        <v>104</v>
      </c>
      <c r="C94" s="13" t="e">
        <f t="shared" si="12"/>
        <v>#REF!</v>
      </c>
    </row>
    <row r="95" spans="2:3">
      <c r="B95" t="s">
        <v>51</v>
      </c>
      <c r="C95" s="13" t="e">
        <f t="shared" si="12"/>
        <v>#REF!</v>
      </c>
    </row>
    <row r="96" spans="2:3">
      <c r="B96" t="s">
        <v>30</v>
      </c>
      <c r="C96" s="13" t="e">
        <f t="shared" si="12"/>
        <v>#REF!</v>
      </c>
    </row>
    <row r="97" spans="2:3">
      <c r="B97" t="s">
        <v>45</v>
      </c>
      <c r="C97" s="13" t="e">
        <f t="shared" si="12"/>
        <v>#REF!</v>
      </c>
    </row>
    <row r="98" spans="2:3">
      <c r="B98" t="s">
        <v>28</v>
      </c>
      <c r="C98" s="13" t="e">
        <f t="shared" si="12"/>
        <v>#REF!</v>
      </c>
    </row>
    <row r="99" spans="2:3">
      <c r="B99" t="s">
        <v>55</v>
      </c>
      <c r="C99" s="13" t="e">
        <f t="shared" si="12"/>
        <v>#REF!</v>
      </c>
    </row>
    <row r="100" spans="2:3">
      <c r="B100" t="s">
        <v>52</v>
      </c>
      <c r="C100" s="13" t="e">
        <f t="shared" si="12"/>
        <v>#REF!</v>
      </c>
    </row>
    <row r="101" spans="2:3">
      <c r="B101" t="s">
        <v>50</v>
      </c>
      <c r="C101" s="13" t="e">
        <f t="shared" si="12"/>
        <v>#REF!</v>
      </c>
    </row>
    <row r="102" spans="2:3">
      <c r="B102" t="s">
        <v>43</v>
      </c>
      <c r="C102" s="13" t="e">
        <f t="shared" si="12"/>
        <v>#REF!</v>
      </c>
    </row>
    <row r="103" spans="2:3">
      <c r="B103" t="s">
        <v>103</v>
      </c>
      <c r="C103" s="13" t="e">
        <f t="shared" si="12"/>
        <v>#REF!</v>
      </c>
    </row>
    <row r="104" spans="2:3">
      <c r="B104" t="s">
        <v>49</v>
      </c>
      <c r="C104" s="13" t="e">
        <f t="shared" si="12"/>
        <v>#REF!</v>
      </c>
    </row>
    <row r="105" spans="2:3">
      <c r="B105" t="s">
        <v>41</v>
      </c>
      <c r="C105" s="13" t="e">
        <f t="shared" si="12"/>
        <v>#REF!</v>
      </c>
    </row>
    <row r="106" spans="2:3">
      <c r="B106" t="s">
        <v>42</v>
      </c>
      <c r="C106" s="13" t="e">
        <f t="shared" si="12"/>
        <v>#REF!</v>
      </c>
    </row>
    <row r="107" spans="2:3">
      <c r="B107" t="s">
        <v>67</v>
      </c>
      <c r="C107" s="13" t="e">
        <f t="shared" si="12"/>
        <v>#REF!</v>
      </c>
    </row>
    <row r="108" spans="2:3">
      <c r="B108" t="s">
        <v>66</v>
      </c>
      <c r="C108" s="13" t="e">
        <f t="shared" si="12"/>
        <v>#REF!</v>
      </c>
    </row>
    <row r="109" spans="2:3">
      <c r="B109" t="s">
        <v>56</v>
      </c>
      <c r="C109" s="13" t="e">
        <f t="shared" si="12"/>
        <v>#REF!</v>
      </c>
    </row>
  </sheetData>
  <autoFilter ref="G48:H65" xr:uid="{00000000-0009-0000-0000-00000C000000}">
    <sortState xmlns:xlrd2="http://schemas.microsoft.com/office/spreadsheetml/2017/richdata2" ref="G49:H65">
      <sortCondition descending="1" ref="H48:H65"/>
    </sortState>
  </autoFilter>
  <mergeCells count="35">
    <mergeCell ref="A45:B45"/>
    <mergeCell ref="A46:B46"/>
    <mergeCell ref="A36:B36"/>
    <mergeCell ref="A37:A44"/>
    <mergeCell ref="F37:F38"/>
    <mergeCell ref="F43:F44"/>
    <mergeCell ref="I37:I38"/>
    <mergeCell ref="F39:F40"/>
    <mergeCell ref="I39:I40"/>
    <mergeCell ref="F41:F42"/>
    <mergeCell ref="I41:I42"/>
    <mergeCell ref="I43:I44"/>
    <mergeCell ref="A2:A16"/>
    <mergeCell ref="F4:F5"/>
    <mergeCell ref="I4:I5"/>
    <mergeCell ref="F6:F7"/>
    <mergeCell ref="I6:I7"/>
    <mergeCell ref="F11:F12"/>
    <mergeCell ref="A18:B18"/>
    <mergeCell ref="A19:A35"/>
    <mergeCell ref="F19:F20"/>
    <mergeCell ref="I19:I20"/>
    <mergeCell ref="F26:F27"/>
    <mergeCell ref="I26:I27"/>
    <mergeCell ref="F30:F31"/>
    <mergeCell ref="I30:I31"/>
    <mergeCell ref="F32:F33"/>
    <mergeCell ref="I32:I33"/>
    <mergeCell ref="F34:F35"/>
    <mergeCell ref="I34:I35"/>
    <mergeCell ref="I11:I12"/>
    <mergeCell ref="F13:F14"/>
    <mergeCell ref="I13:I14"/>
    <mergeCell ref="F15:F16"/>
    <mergeCell ref="I15:I16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58"/>
  <sheetViews>
    <sheetView topLeftCell="A38" zoomScale="55" zoomScaleNormal="55" workbookViewId="0">
      <selection activeCell="M33" sqref="M33:M34"/>
    </sheetView>
  </sheetViews>
  <sheetFormatPr baseColWidth="10" defaultColWidth="9.140625" defaultRowHeight="15"/>
  <cols>
    <col min="1" max="1" width="9.140625" style="1"/>
    <col min="2" max="2" width="4.140625" style="1" customWidth="1"/>
    <col min="3" max="3" width="4" style="1" bestFit="1" customWidth="1"/>
    <col min="4" max="4" width="10.7109375" style="1" customWidth="1"/>
    <col min="5" max="5" width="6.140625" style="1" customWidth="1"/>
    <col min="6" max="6" width="10.85546875" style="1" bestFit="1" customWidth="1"/>
    <col min="7" max="7" width="16.140625" style="1" bestFit="1" customWidth="1"/>
    <col min="8" max="8" width="10.85546875" style="1" bestFit="1" customWidth="1"/>
    <col min="9" max="9" width="9.5703125" style="1" bestFit="1" customWidth="1"/>
    <col min="10" max="11" width="11" style="1" bestFit="1" customWidth="1"/>
    <col min="12" max="12" width="8.5703125" style="1" bestFit="1" customWidth="1"/>
    <col min="13" max="13" width="10.7109375" style="1" customWidth="1"/>
    <col min="14" max="15" width="9.140625" style="1"/>
    <col min="16" max="16" width="14.140625" style="1" bestFit="1" customWidth="1"/>
    <col min="17" max="17" width="12" style="1" bestFit="1" customWidth="1"/>
    <col min="18" max="16384" width="9.140625" style="1"/>
  </cols>
  <sheetData>
    <row r="1" spans="2:18" ht="36.75" thickBot="1">
      <c r="B1" s="185" t="s">
        <v>0</v>
      </c>
      <c r="C1" s="181" t="s">
        <v>1</v>
      </c>
      <c r="D1" s="181" t="s">
        <v>2</v>
      </c>
      <c r="E1" s="186" t="s">
        <v>3</v>
      </c>
      <c r="F1" s="186" t="s">
        <v>4</v>
      </c>
      <c r="G1" s="186" t="s">
        <v>5</v>
      </c>
      <c r="H1" s="186" t="s">
        <v>6</v>
      </c>
      <c r="I1" s="186" t="s">
        <v>7</v>
      </c>
      <c r="J1" s="186" t="s">
        <v>8</v>
      </c>
      <c r="K1" s="186" t="s">
        <v>9</v>
      </c>
      <c r="L1" s="186" t="s">
        <v>10</v>
      </c>
      <c r="M1" s="186" t="s">
        <v>11</v>
      </c>
    </row>
    <row r="2" spans="2:18" ht="15" customHeight="1" thickBot="1">
      <c r="B2" s="415" t="s">
        <v>12</v>
      </c>
      <c r="C2" s="423" t="s">
        <v>13</v>
      </c>
      <c r="D2" s="423"/>
      <c r="E2" s="423"/>
      <c r="F2" s="423"/>
      <c r="G2" s="423"/>
      <c r="H2" s="423"/>
      <c r="I2" s="423"/>
      <c r="J2" s="423"/>
      <c r="K2" s="423"/>
      <c r="L2" s="423"/>
      <c r="M2" s="423"/>
    </row>
    <row r="3" spans="2:18" ht="15.75" customHeight="1" thickBot="1">
      <c r="B3" s="415"/>
      <c r="C3" s="414">
        <v>1</v>
      </c>
      <c r="D3" s="167" t="s">
        <v>14</v>
      </c>
      <c r="E3" s="168">
        <v>48</v>
      </c>
      <c r="F3" s="169" t="e">
        <f>+Ene!C6+Feb!C6+Mar!C6+#REF!+#REF!+#REF!+Jul!C6+Ago!C6+Sep!C6+enero!C6+febrero!C6+marzo!C6</f>
        <v>#REF!</v>
      </c>
      <c r="G3" s="170" t="e">
        <f>+Ene!F6+Feb!F6+Mar!F6+#REF!+#REF!+#REF!+Jul!F6+Ago!F6+Sep!F6+enero!F6+febrero!F6+marzo!F6</f>
        <v>#REF!</v>
      </c>
      <c r="H3" s="409" t="e">
        <f>+G3+G4</f>
        <v>#REF!</v>
      </c>
      <c r="I3" s="170" t="e">
        <f>+Ene!H6+Feb!H6+Mar!H6+#REF!+#REF!+#REF!+Jul!H6+Ago!H6+Sep!H6+enero!H6+febrero!H6+marzo!H6</f>
        <v>#REF!</v>
      </c>
      <c r="J3" s="171" t="e">
        <f>+Ene!I6+Feb!I6+Mar!I6+#REF!+#REF!+#REF!+Jul!I6+Ago!I6+Sep!I6+enero!I6+febrero!I6+marzo!I6</f>
        <v>#REF!</v>
      </c>
      <c r="K3" s="410" t="e">
        <f>+J3+J4</f>
        <v>#REF!</v>
      </c>
      <c r="L3" s="172">
        <f t="shared" ref="L3:L12" si="0">IFERROR(+G3/F3/1000,0)</f>
        <v>0</v>
      </c>
      <c r="M3" s="173" t="e">
        <f t="shared" ref="M3:M13" si="1">(G3/$G$53)*100</f>
        <v>#REF!</v>
      </c>
      <c r="N3" s="3"/>
      <c r="P3" s="4" t="s">
        <v>0</v>
      </c>
      <c r="Q3" s="4" t="s">
        <v>15</v>
      </c>
      <c r="R3" s="4" t="s">
        <v>16</v>
      </c>
    </row>
    <row r="4" spans="2:18" ht="15.75" thickBot="1">
      <c r="B4" s="415"/>
      <c r="C4" s="414"/>
      <c r="D4" s="167" t="s">
        <v>17</v>
      </c>
      <c r="E4" s="168">
        <v>48</v>
      </c>
      <c r="F4" s="169" t="e">
        <f>+Ene!C7+Feb!C7+Mar!C7+#REF!+#REF!+#REF!+Jul!C7+Ago!C7+Sep!C7+enero!C7+febrero!C7+marzo!C7</f>
        <v>#REF!</v>
      </c>
      <c r="G4" s="170" t="e">
        <f>+Ene!F7+Feb!F7+Mar!F7+#REF!+#REF!+#REF!+Jul!F7+Ago!F7+Sep!F7+enero!F7+febrero!F7+marzo!F7</f>
        <v>#REF!</v>
      </c>
      <c r="H4" s="409"/>
      <c r="I4" s="168" t="e">
        <f>+Ene!H7+Feb!H7+Mar!H7+#REF!+#REF!+#REF!+Jul!H7+Ago!H7+Sep!H7+enero!H7+febrero!H7+marzo!H7</f>
        <v>#REF!</v>
      </c>
      <c r="J4" s="171" t="e">
        <f>+Ene!I7+Feb!I7+Mar!I7+#REF!+#REF!+#REF!+Jul!I7+Ago!I7+Sep!I7+enero!I7+febrero!I7+marzo!I7</f>
        <v>#REF!</v>
      </c>
      <c r="K4" s="410"/>
      <c r="L4" s="172">
        <f t="shared" si="0"/>
        <v>0</v>
      </c>
      <c r="M4" s="173" t="e">
        <f t="shared" si="1"/>
        <v>#REF!</v>
      </c>
      <c r="P4" s="5" t="s">
        <v>18</v>
      </c>
      <c r="Q4" s="6" t="e">
        <f>+G27/10^6</f>
        <v>#REF!</v>
      </c>
      <c r="R4" s="6" t="e">
        <f>+M27</f>
        <v>#REF!</v>
      </c>
    </row>
    <row r="5" spans="2:18" ht="15.75" thickBot="1">
      <c r="B5" s="415"/>
      <c r="C5" s="168">
        <v>2</v>
      </c>
      <c r="D5" s="167" t="s">
        <v>19</v>
      </c>
      <c r="E5" s="168">
        <v>18</v>
      </c>
      <c r="F5" s="169" t="e">
        <f>+Ene!C8+Feb!C8+Mar!C8+#REF!+#REF!+#REF!+Jul!C8+Ago!C8+Sep!C8+enero!C8+febrero!C8+marzo!C8</f>
        <v>#REF!</v>
      </c>
      <c r="G5" s="170" t="e">
        <f>+Ene!F8+Feb!F8+Mar!F8+#REF!+#REF!+#REF!+Jul!F8+Ago!F8+Sep!F8+enero!F8+febrero!F8+marzo!F8</f>
        <v>#REF!</v>
      </c>
      <c r="H5" s="171" t="e">
        <f>+G5</f>
        <v>#REF!</v>
      </c>
      <c r="I5" s="170" t="e">
        <f>+Ene!H8+Feb!H8+Mar!H8+#REF!+#REF!+#REF!+Jul!H8+Ago!H8+Sep!H8+enero!H8+febrero!H8+marzo!H8</f>
        <v>#REF!</v>
      </c>
      <c r="J5" s="171" t="e">
        <f>+Ene!I8+Feb!I8+Mar!I8+#REF!+#REF!+#REF!+Jul!I8+Ago!I8+Sep!I8+enero!I8+febrero!I8+marzo!I8</f>
        <v>#REF!</v>
      </c>
      <c r="K5" s="170" t="e">
        <f>+J5</f>
        <v>#REF!</v>
      </c>
      <c r="L5" s="172">
        <f t="shared" si="0"/>
        <v>0</v>
      </c>
      <c r="M5" s="173" t="e">
        <f t="shared" si="1"/>
        <v>#REF!</v>
      </c>
      <c r="P5" s="5" t="s">
        <v>20</v>
      </c>
      <c r="Q5" s="2" t="e">
        <f>+G52/10^6</f>
        <v>#REF!</v>
      </c>
      <c r="R5" s="2" t="e">
        <f>+M52</f>
        <v>#REF!</v>
      </c>
    </row>
    <row r="6" spans="2:18" ht="15.75" thickBot="1">
      <c r="B6" s="415"/>
      <c r="C6" s="414">
        <v>3</v>
      </c>
      <c r="D6" s="167" t="s">
        <v>21</v>
      </c>
      <c r="E6" s="168">
        <v>26</v>
      </c>
      <c r="F6" s="169" t="e">
        <f>+Ene!C9+Feb!C9+Mar!C9+#REF!+#REF!+#REF!+Jul!C9+Ago!C9+Sep!C9+enero!C9+febrero!C9+marzo!C9</f>
        <v>#REF!</v>
      </c>
      <c r="G6" s="170" t="e">
        <f>+Ene!F9+Feb!F9+Mar!F9+#REF!+#REF!+#REF!+Jul!F9+Ago!F9+Sep!F9+enero!F9+febrero!F9+marzo!F9</f>
        <v>#REF!</v>
      </c>
      <c r="H6" s="409" t="e">
        <f>+G6+G7</f>
        <v>#REF!</v>
      </c>
      <c r="I6" s="170" t="e">
        <f>+Ene!H9+Feb!H9+Mar!H9+#REF!+#REF!+#REF!+Jul!H9+Ago!H9+Sep!H9+enero!H9+febrero!H9+marzo!H9</f>
        <v>#REF!</v>
      </c>
      <c r="J6" s="171" t="e">
        <f>+Ene!I9+Feb!I9+Mar!I9+#REF!+#REF!+#REF!+Jul!I9+Ago!I9+Sep!I9+enero!I9+febrero!I9+marzo!I9</f>
        <v>#REF!</v>
      </c>
      <c r="K6" s="410" t="e">
        <f>+J6+J7</f>
        <v>#REF!</v>
      </c>
      <c r="L6" s="172">
        <f t="shared" si="0"/>
        <v>0</v>
      </c>
      <c r="M6" s="173" t="e">
        <f t="shared" si="1"/>
        <v>#REF!</v>
      </c>
      <c r="N6" s="3"/>
    </row>
    <row r="7" spans="2:18" ht="15.75" thickBot="1">
      <c r="B7" s="415"/>
      <c r="C7" s="414"/>
      <c r="D7" s="167" t="s">
        <v>22</v>
      </c>
      <c r="E7" s="168">
        <v>26</v>
      </c>
      <c r="F7" s="169" t="e">
        <f>+Ene!C10+Feb!C10+Mar!C10+#REF!+#REF!+#REF!+Jul!C10+Ago!C10+Sep!C10+enero!C10+febrero!C10+marzo!C10</f>
        <v>#REF!</v>
      </c>
      <c r="G7" s="170" t="e">
        <f>+Ene!F10+Feb!F10+Mar!F10+#REF!+#REF!+#REF!+Jul!F10+Ago!F10+Sep!F10+enero!F10+febrero!F10+marzo!F10</f>
        <v>#REF!</v>
      </c>
      <c r="H7" s="409"/>
      <c r="I7" s="168" t="e">
        <f>+Ene!H10+Feb!H10+Mar!H10+#REF!+#REF!+#REF!+Jul!H10+Ago!H10+Sep!H10+enero!H10+febrero!H10+marzo!H10</f>
        <v>#REF!</v>
      </c>
      <c r="J7" s="171" t="e">
        <f>+Ene!I10+Feb!I10+Mar!I10+#REF!+#REF!+#REF!+Jul!I10+Ago!I10+Sep!I10+enero!I10+febrero!I10+marzo!I10</f>
        <v>#REF!</v>
      </c>
      <c r="K7" s="410"/>
      <c r="L7" s="172">
        <f t="shared" si="0"/>
        <v>0</v>
      </c>
      <c r="M7" s="173" t="e">
        <f t="shared" si="1"/>
        <v>#REF!</v>
      </c>
      <c r="P7" s="4" t="s">
        <v>23</v>
      </c>
      <c r="Q7" s="4" t="s">
        <v>15</v>
      </c>
      <c r="R7" s="4" t="s">
        <v>16</v>
      </c>
    </row>
    <row r="8" spans="2:18" ht="15.75" thickBot="1">
      <c r="B8" s="415"/>
      <c r="C8" s="414">
        <v>4</v>
      </c>
      <c r="D8" s="167" t="s">
        <v>24</v>
      </c>
      <c r="E8" s="168">
        <v>1.6</v>
      </c>
      <c r="F8" s="169" t="e">
        <f>+Ene!C11+Feb!C11+Mar!C11+#REF!+#REF!+#REF!+Jul!C11+Ago!C11+Sep!C11+enero!C11+febrero!C11+marzo!C11</f>
        <v>#REF!</v>
      </c>
      <c r="G8" s="170" t="e">
        <f>+Ene!F11+Feb!F11+Mar!F11+#REF!+#REF!+#REF!+Jul!F11+Ago!F11+Sep!F11+enero!F11+febrero!F11+marzo!F11</f>
        <v>#REF!</v>
      </c>
      <c r="H8" s="409" t="e">
        <f t="shared" ref="H8" si="2">+G8+G9</f>
        <v>#REF!</v>
      </c>
      <c r="I8" s="170" t="e">
        <f>+Ene!H11+Feb!H11+Mar!H11+#REF!+#REF!+#REF!+Jul!H11+Ago!H11+Sep!H11+enero!H11+febrero!H11+marzo!H11</f>
        <v>#REF!</v>
      </c>
      <c r="J8" s="171" t="e">
        <f>+Ene!I11+Feb!I11+Mar!I11+#REF!+#REF!+#REF!+Jul!I11+Ago!I11+Sep!I11+enero!I11+febrero!I11+marzo!I11</f>
        <v>#REF!</v>
      </c>
      <c r="K8" s="410" t="e">
        <f t="shared" ref="K8" si="3">+J8+J9</f>
        <v>#REF!</v>
      </c>
      <c r="L8" s="172">
        <f t="shared" si="0"/>
        <v>0</v>
      </c>
      <c r="M8" s="173" t="e">
        <f t="shared" si="1"/>
        <v>#REF!</v>
      </c>
      <c r="P8" s="5" t="s">
        <v>25</v>
      </c>
      <c r="Q8" s="6" t="e">
        <f>+G13/10^6</f>
        <v>#REF!</v>
      </c>
      <c r="R8" s="6" t="e">
        <f>+M13</f>
        <v>#REF!</v>
      </c>
    </row>
    <row r="9" spans="2:18" ht="15.75" thickBot="1">
      <c r="B9" s="415"/>
      <c r="C9" s="414"/>
      <c r="D9" s="167" t="s">
        <v>26</v>
      </c>
      <c r="E9" s="168">
        <v>1.6</v>
      </c>
      <c r="F9" s="169" t="e">
        <f>+Ene!C12+Feb!C12+Mar!C12+#REF!+#REF!+#REF!+Jul!C12+Ago!C12+Sep!C12+enero!C12+febrero!C12+marzo!C12</f>
        <v>#REF!</v>
      </c>
      <c r="G9" s="170" t="e">
        <f>+Ene!F12+Feb!F12+Mar!F12+#REF!+#REF!+#REF!+Jul!F12+Ago!F12+Sep!F12+enero!F12+febrero!F12+marzo!F12</f>
        <v>#REF!</v>
      </c>
      <c r="H9" s="409"/>
      <c r="I9" s="168" t="e">
        <f>+Ene!H12+Feb!H12+Mar!H12+#REF!+#REF!+#REF!+Jul!H12+Ago!H12+Sep!H12+enero!H12+febrero!H12+marzo!H12</f>
        <v>#REF!</v>
      </c>
      <c r="J9" s="171" t="e">
        <f>+Ene!I12+Feb!I12+Mar!I12+#REF!+#REF!+#REF!+Jul!I12+Ago!I12+Sep!I12+enero!I12+febrero!I12+marzo!I12</f>
        <v>#REF!</v>
      </c>
      <c r="K9" s="410"/>
      <c r="L9" s="172">
        <f t="shared" si="0"/>
        <v>0</v>
      </c>
      <c r="M9" s="173" t="e">
        <f t="shared" si="1"/>
        <v>#REF!</v>
      </c>
      <c r="P9" s="5" t="s">
        <v>27</v>
      </c>
      <c r="Q9" s="2" t="e">
        <f>+G26/10^6</f>
        <v>#REF!</v>
      </c>
      <c r="R9" s="2" t="e">
        <f>+M26</f>
        <v>#REF!</v>
      </c>
    </row>
    <row r="10" spans="2:18" ht="15.75" thickBot="1">
      <c r="B10" s="415"/>
      <c r="C10" s="414">
        <v>5</v>
      </c>
      <c r="D10" s="167" t="s">
        <v>28</v>
      </c>
      <c r="E10" s="168">
        <v>0.6</v>
      </c>
      <c r="F10" s="169" t="e">
        <f>+Ene!C13+Feb!C13+Mar!C13+#REF!+#REF!+#REF!+Jul!C13+Ago!C13+Sep!C13+enero!C13+febrero!C13+marzo!C13</f>
        <v>#REF!</v>
      </c>
      <c r="G10" s="170" t="e">
        <f>+Ene!F13+Feb!F13+Mar!F13+#REF!+#REF!+#REF!+Jul!F13+Ago!F13+Sep!F13+enero!F13+febrero!F13+marzo!F13</f>
        <v>#REF!</v>
      </c>
      <c r="H10" s="409" t="e">
        <f t="shared" ref="H10" si="4">+G10+G11</f>
        <v>#REF!</v>
      </c>
      <c r="I10" s="170" t="e">
        <f>+Ene!H13+Feb!H13+Mar!H13+#REF!+#REF!+#REF!+Jul!H13+Ago!H13+Sep!H13+enero!H13+febrero!H13+marzo!H13</f>
        <v>#REF!</v>
      </c>
      <c r="J10" s="171" t="e">
        <f>+Ene!I13+Feb!I13+Mar!I13+#REF!+#REF!+#REF!+Jul!I13+Ago!I13+Sep!I13+enero!I13+febrero!I13+marzo!I13</f>
        <v>#REF!</v>
      </c>
      <c r="K10" s="410" t="e">
        <f t="shared" ref="K10" si="5">+J10+J11</f>
        <v>#REF!</v>
      </c>
      <c r="L10" s="172">
        <f t="shared" si="0"/>
        <v>0</v>
      </c>
      <c r="M10" s="173" t="e">
        <f t="shared" si="1"/>
        <v>#REF!</v>
      </c>
      <c r="P10" s="5" t="s">
        <v>29</v>
      </c>
      <c r="Q10" s="6" t="e">
        <f>+G38/10^6</f>
        <v>#REF!</v>
      </c>
      <c r="R10" s="6" t="e">
        <f>+M38</f>
        <v>#REF!</v>
      </c>
    </row>
    <row r="11" spans="2:18" ht="15.75" thickBot="1">
      <c r="B11" s="415"/>
      <c r="C11" s="414"/>
      <c r="D11" s="167" t="s">
        <v>30</v>
      </c>
      <c r="E11" s="168">
        <v>0.6</v>
      </c>
      <c r="F11" s="169" t="e">
        <f>+Ene!C14+Feb!C14+Mar!C14+#REF!+#REF!+#REF!+Jul!C14+Ago!C14+Sep!C14+enero!C14+febrero!C14+marzo!C14</f>
        <v>#REF!</v>
      </c>
      <c r="G11" s="170" t="e">
        <f>+Ene!F14+Feb!F14+Mar!F14+#REF!+#REF!+#REF!+Jul!F14+Ago!F14+Sep!F14+enero!F14+febrero!F14+marzo!F14</f>
        <v>#REF!</v>
      </c>
      <c r="H11" s="409"/>
      <c r="I11" s="168" t="e">
        <f>+Ene!H14+Feb!H14+Mar!H14+#REF!+#REF!+#REF!+Jul!H14+Ago!H14+Sep!H14+enero!H14+febrero!H14+marzo!H14</f>
        <v>#REF!</v>
      </c>
      <c r="J11" s="171" t="e">
        <f>+Ene!I14+Feb!I14+Mar!I14+#REF!+#REF!+#REF!+Jul!I14+Ago!I14+Sep!I14+enero!I14+febrero!I14+marzo!I14</f>
        <v>#REF!</v>
      </c>
      <c r="K11" s="410"/>
      <c r="L11" s="172">
        <f t="shared" si="0"/>
        <v>0</v>
      </c>
      <c r="M11" s="173" t="e">
        <f t="shared" si="1"/>
        <v>#REF!</v>
      </c>
      <c r="P11" s="5" t="s">
        <v>31</v>
      </c>
      <c r="Q11" s="2" t="e">
        <f>+G51/10^6</f>
        <v>#REF!</v>
      </c>
      <c r="R11" s="2" t="e">
        <f>+M51</f>
        <v>#REF!</v>
      </c>
    </row>
    <row r="12" spans="2:18" ht="15.75" thickBot="1">
      <c r="B12" s="415"/>
      <c r="C12" s="168">
        <v>6</v>
      </c>
      <c r="D12" s="167" t="s">
        <v>32</v>
      </c>
      <c r="E12" s="168">
        <v>2.8</v>
      </c>
      <c r="F12" s="169" t="e">
        <f>+Ene!C15+Feb!C15+Mar!C15+#REF!+#REF!+#REF!+Jul!C15+Ago!C15+Sep!C15+enero!C15+febrero!C15+marzo!C15</f>
        <v>#REF!</v>
      </c>
      <c r="G12" s="170" t="e">
        <f>+Ene!F15+Feb!F15+Mar!F15+#REF!+#REF!+#REF!+Jul!F15+Ago!F15+Sep!F15+enero!F15+febrero!F15+marzo!F15</f>
        <v>#REF!</v>
      </c>
      <c r="H12" s="171" t="e">
        <f>+G12</f>
        <v>#REF!</v>
      </c>
      <c r="I12" s="170" t="e">
        <f>+Ene!H15+Feb!H15+Mar!H15+#REF!+#REF!+#REF!+Jul!H15+Ago!H15+Sep!H15+enero!H15+febrero!H15+marzo!H15</f>
        <v>#REF!</v>
      </c>
      <c r="J12" s="171" t="e">
        <f>+Ene!I15+Feb!I15+Mar!I15+#REF!+#REF!+#REF!+Jul!I15+Ago!I15+Sep!I15+enero!I15+febrero!I15+marzo!I15</f>
        <v>#REF!</v>
      </c>
      <c r="K12" s="170" t="e">
        <f>+J12</f>
        <v>#REF!</v>
      </c>
      <c r="L12" s="172">
        <f t="shared" si="0"/>
        <v>0</v>
      </c>
      <c r="M12" s="173" t="e">
        <f t="shared" si="1"/>
        <v>#REF!</v>
      </c>
    </row>
    <row r="13" spans="2:18" s="7" customFormat="1" ht="15.75" thickBot="1">
      <c r="B13" s="415"/>
      <c r="C13" s="419" t="s">
        <v>33</v>
      </c>
      <c r="D13" s="420"/>
      <c r="E13" s="174">
        <f>SUM(E3:E12)</f>
        <v>173.2</v>
      </c>
      <c r="F13" s="175" t="e">
        <f t="shared" ref="F13:K13" si="6">SUM(F3:F12)</f>
        <v>#REF!</v>
      </c>
      <c r="G13" s="176" t="e">
        <f t="shared" si="6"/>
        <v>#REF!</v>
      </c>
      <c r="H13" s="177" t="e">
        <f t="shared" si="6"/>
        <v>#REF!</v>
      </c>
      <c r="I13" s="176" t="e">
        <f t="shared" si="6"/>
        <v>#REF!</v>
      </c>
      <c r="J13" s="177" t="e">
        <f t="shared" si="6"/>
        <v>#REF!</v>
      </c>
      <c r="K13" s="176" t="e">
        <f t="shared" si="6"/>
        <v>#REF!</v>
      </c>
      <c r="L13" s="178">
        <f>SUM(L3:L12)</f>
        <v>0</v>
      </c>
      <c r="M13" s="179" t="e">
        <f t="shared" si="1"/>
        <v>#REF!</v>
      </c>
    </row>
    <row r="14" spans="2:18" ht="15.75" thickBot="1">
      <c r="B14" s="415"/>
      <c r="C14" s="416" t="s">
        <v>34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8"/>
    </row>
    <row r="15" spans="2:18" ht="15.75" thickBot="1">
      <c r="B15" s="415"/>
      <c r="C15" s="168">
        <v>7</v>
      </c>
      <c r="D15" s="167" t="s">
        <v>35</v>
      </c>
      <c r="E15" s="168">
        <v>10.1</v>
      </c>
      <c r="F15" s="169" t="e">
        <f>+Ene!C18+Feb!C18+Mar!C18+#REF!+#REF!+#REF!+Jul!C18+Ago!C18+Sep!C18+enero!C18+febrero!C18+marzo!C18</f>
        <v>#REF!</v>
      </c>
      <c r="G15" s="170" t="e">
        <f>+Ene!F18+Feb!F18+Mar!F18+#REF!+#REF!+#REF!+Jul!F18+Ago!F18+Sep!F18+enero!F18+febrero!F18+marzo!F18</f>
        <v>#REF!</v>
      </c>
      <c r="H15" s="171" t="e">
        <f t="shared" ref="H15:H16" si="7">+G15</f>
        <v>#REF!</v>
      </c>
      <c r="I15" s="170" t="e">
        <f>+Ene!H18+Feb!H18+Mar!H18+#REF!+#REF!+#REF!+Jul!H18+Ago!H18+Sep!H18+enero!H18+febrero!H18+marzo!H18</f>
        <v>#REF!</v>
      </c>
      <c r="J15" s="171" t="e">
        <f>+Ene!I18+Feb!I18+Mar!I18+#REF!+#REF!+#REF!+Jul!I18+Ago!I18+Sep!I18+enero!I18+febrero!I18+marzo!I18</f>
        <v>#REF!</v>
      </c>
      <c r="K15" s="170" t="e">
        <f>+J15</f>
        <v>#REF!</v>
      </c>
      <c r="L15" s="172">
        <f t="shared" ref="L15:L25" si="8">IFERROR(+G15/F15/1000,0)</f>
        <v>0</v>
      </c>
      <c r="M15" s="173" t="e">
        <f t="shared" ref="M15:M52" si="9">(G15/$G$53)*100</f>
        <v>#REF!</v>
      </c>
    </row>
    <row r="16" spans="2:18" ht="15.75" thickBot="1">
      <c r="B16" s="415"/>
      <c r="C16" s="168">
        <v>8</v>
      </c>
      <c r="D16" s="167" t="s">
        <v>36</v>
      </c>
      <c r="E16" s="168">
        <v>8</v>
      </c>
      <c r="F16" s="169" t="e">
        <f>+Ene!C19+Feb!C19+Mar!C19+#REF!+#REF!+#REF!+Jul!C19+Ago!C19+Sep!C19+enero!C19+febrero!C19+marzo!C19</f>
        <v>#REF!</v>
      </c>
      <c r="G16" s="170" t="e">
        <f>+Ene!F19+Feb!F19+Mar!F19+#REF!+#REF!+#REF!+Jul!F19+Ago!F19+Sep!F19+enero!F19+febrero!F19+marzo!F19</f>
        <v>#REF!</v>
      </c>
      <c r="H16" s="171" t="e">
        <f t="shared" si="7"/>
        <v>#REF!</v>
      </c>
      <c r="I16" s="170" t="e">
        <f>+Ene!H19+Feb!H19+Mar!H19+#REF!+#REF!+#REF!+Jul!H19+Ago!H19+Sep!H19+enero!H19+febrero!H19+marzo!H19</f>
        <v>#REF!</v>
      </c>
      <c r="J16" s="171" t="e">
        <f>+Ene!I19+Feb!I19+Mar!I19+#REF!+#REF!+#REF!+Jul!I19+Ago!I19+Sep!I19+enero!I19+febrero!I19+marzo!I19</f>
        <v>#REF!</v>
      </c>
      <c r="K16" s="170" t="e">
        <f>+J16</f>
        <v>#REF!</v>
      </c>
      <c r="L16" s="172">
        <f t="shared" si="8"/>
        <v>0</v>
      </c>
      <c r="M16" s="173" t="e">
        <f t="shared" si="9"/>
        <v>#REF!</v>
      </c>
    </row>
    <row r="17" spans="2:15" ht="15.75" thickBot="1">
      <c r="B17" s="415"/>
      <c r="C17" s="168">
        <v>9</v>
      </c>
      <c r="D17" s="167" t="s">
        <v>37</v>
      </c>
      <c r="E17" s="168">
        <v>8.4</v>
      </c>
      <c r="F17" s="169" t="e">
        <f>+Ene!C21+Feb!C21+Mar!C21+#REF!+#REF!+#REF!+Jul!C21+Ago!C21+Sep!C21+enero!C21+febrero!C21+marzo!C21</f>
        <v>#REF!</v>
      </c>
      <c r="G17" s="170" t="e">
        <f>+Ene!F21+Feb!F21+Mar!F21+#REF!+#REF!+#REF!+Jul!F21+Ago!F21+Sep!F21+enero!F21+febrero!F21+marzo!F21</f>
        <v>#REF!</v>
      </c>
      <c r="H17" s="171" t="e">
        <f>+G17</f>
        <v>#REF!</v>
      </c>
      <c r="I17" s="170" t="e">
        <f>+Ene!H21+Feb!H21+Mar!H21+#REF!+#REF!+#REF!+Jul!H21+Ago!H21+Sep!H21+enero!H21+febrero!H21+marzo!H21</f>
        <v>#REF!</v>
      </c>
      <c r="J17" s="171" t="e">
        <f>+Ene!I21+Feb!I21+Mar!I21+#REF!+#REF!+#REF!+Jul!I21+Ago!I21+Sep!I21+enero!I21+febrero!I21+marzo!I21</f>
        <v>#REF!</v>
      </c>
      <c r="K17" s="170" t="e">
        <f>+J17</f>
        <v>#REF!</v>
      </c>
      <c r="L17" s="172">
        <f t="shared" si="8"/>
        <v>0</v>
      </c>
      <c r="M17" s="173" t="e">
        <f t="shared" si="9"/>
        <v>#REF!</v>
      </c>
    </row>
    <row r="18" spans="2:15" ht="15.75" thickBot="1">
      <c r="B18" s="415"/>
      <c r="C18" s="411">
        <f>+C17+1</f>
        <v>10</v>
      </c>
      <c r="D18" s="167" t="s">
        <v>38</v>
      </c>
      <c r="E18" s="168">
        <v>12.5</v>
      </c>
      <c r="F18" s="169" t="e">
        <f>+Ene!C22+Feb!C22+Mar!C22+#REF!+#REF!+#REF!+Jul!C22+Ago!C22+Sep!C22+enero!C22+febrero!C22+marzo!C22</f>
        <v>#REF!</v>
      </c>
      <c r="G18" s="170" t="e">
        <f>+Ene!F22+Feb!F22+Mar!F22+#REF!+#REF!+#REF!+Jul!F22+Ago!F22+Sep!F22+enero!F22+febrero!F22+marzo!F22</f>
        <v>#REF!</v>
      </c>
      <c r="H18" s="409" t="e">
        <f t="shared" ref="H18" si="10">+G18+G19</f>
        <v>#REF!</v>
      </c>
      <c r="I18" s="170" t="e">
        <f>+Ene!H22+Feb!H22+Mar!H22+#REF!+#REF!+#REF!+Jul!H22+Ago!H22+Sep!H22+enero!H22+febrero!H22+marzo!H22</f>
        <v>#REF!</v>
      </c>
      <c r="J18" s="171" t="e">
        <f>+Ene!I22+Feb!I22+Mar!I22+#REF!+#REF!+#REF!+Jul!I22+Ago!I22+Sep!I22+enero!I22+febrero!I22+marzo!I22</f>
        <v>#REF!</v>
      </c>
      <c r="K18" s="410" t="e">
        <f t="shared" ref="K18" si="11">+J18+J19</f>
        <v>#REF!</v>
      </c>
      <c r="L18" s="172">
        <f t="shared" si="8"/>
        <v>0</v>
      </c>
      <c r="M18" s="173" t="e">
        <f t="shared" si="9"/>
        <v>#REF!</v>
      </c>
      <c r="O18" s="1">
        <f>371/630</f>
        <v>0.58888888888888891</v>
      </c>
    </row>
    <row r="19" spans="2:15" ht="15.75" thickBot="1">
      <c r="B19" s="415"/>
      <c r="C19" s="412"/>
      <c r="D19" s="167" t="s">
        <v>39</v>
      </c>
      <c r="E19" s="168">
        <v>12.5</v>
      </c>
      <c r="F19" s="169" t="e">
        <f>+Ene!C23+Feb!C23+Mar!C23+#REF!+#REF!+#REF!+Jul!C23+Ago!C23+Sep!C23+enero!C23+febrero!C23+marzo!C23</f>
        <v>#REF!</v>
      </c>
      <c r="G19" s="170" t="e">
        <f>+Ene!F23+Feb!F23+Mar!F23+#REF!+#REF!+#REF!+Jul!F23+Ago!F23+Sep!F23+enero!F23+febrero!F23+marzo!F23</f>
        <v>#REF!</v>
      </c>
      <c r="H19" s="409"/>
      <c r="I19" s="170" t="e">
        <f>+Ene!H23+Feb!H23+Mar!H23+#REF!+#REF!+#REF!+Jul!H23+Ago!H23+Sep!H23+enero!H23+febrero!H23+marzo!H23</f>
        <v>#REF!</v>
      </c>
      <c r="J19" s="171" t="e">
        <f>+Ene!I23+Feb!I23+Mar!I23+#REF!+#REF!+#REF!+Jul!I23+Ago!I23+Sep!I23+enero!I23+febrero!I23+marzo!I23</f>
        <v>#REF!</v>
      </c>
      <c r="K19" s="410"/>
      <c r="L19" s="172">
        <f t="shared" si="8"/>
        <v>0</v>
      </c>
      <c r="M19" s="173" t="e">
        <f t="shared" si="9"/>
        <v>#REF!</v>
      </c>
      <c r="O19" s="1">
        <f>371/631</f>
        <v>0.58795562599049134</v>
      </c>
    </row>
    <row r="20" spans="2:15" ht="15.75" thickBot="1">
      <c r="B20" s="415"/>
      <c r="C20" s="168">
        <v>11</v>
      </c>
      <c r="D20" s="167" t="s">
        <v>40</v>
      </c>
      <c r="E20" s="168">
        <v>0.62</v>
      </c>
      <c r="F20" s="169" t="e">
        <f>+Ene!C24+Feb!C24+Mar!C24+#REF!+#REF!+#REF!+Jul!C24+Ago!C24+Sep!C24+enero!C24+febrero!C24+marzo!C24</f>
        <v>#REF!</v>
      </c>
      <c r="G20" s="170" t="e">
        <f>+Ene!F24+Feb!F24+Mar!F24+#REF!+#REF!+#REF!+Jul!F24+Ago!F24+Sep!F24+enero!F24+febrero!F24+marzo!F24</f>
        <v>#REF!</v>
      </c>
      <c r="H20" s="171" t="e">
        <f>+G20</f>
        <v>#REF!</v>
      </c>
      <c r="I20" s="170" t="e">
        <f>+Ene!H24+Feb!H24+Mar!H24+#REF!+#REF!+#REF!+Jul!H24+Ago!H24+Sep!H24+enero!H24+febrero!H24+marzo!H24</f>
        <v>#REF!</v>
      </c>
      <c r="J20" s="171" t="e">
        <f>+Ene!I24+Feb!I24+Mar!I24+#REF!+#REF!+#REF!+Jul!I24+Ago!I24+Sep!I24+enero!I24+febrero!I24+marzo!I24</f>
        <v>#REF!</v>
      </c>
      <c r="K20" s="170" t="e">
        <f>+J20</f>
        <v>#REF!</v>
      </c>
      <c r="L20" s="172">
        <f t="shared" si="8"/>
        <v>0</v>
      </c>
      <c r="M20" s="173" t="e">
        <f t="shared" si="9"/>
        <v>#REF!</v>
      </c>
    </row>
    <row r="21" spans="2:15" ht="15.75" thickBot="1">
      <c r="B21" s="415"/>
      <c r="C21" s="411">
        <v>12</v>
      </c>
      <c r="D21" s="167" t="s">
        <v>41</v>
      </c>
      <c r="E21" s="168">
        <v>0.35</v>
      </c>
      <c r="F21" s="169" t="e">
        <f>+Ene!C25+Feb!C25+Mar!C25+#REF!+#REF!+#REF!+Jul!C25+Ago!C25+Sep!C25+enero!C25+febrero!C25+marzo!C25</f>
        <v>#REF!</v>
      </c>
      <c r="G21" s="168" t="e">
        <f>+Ene!F25+Feb!F25+Mar!F25+#REF!+#REF!+#REF!+Jul!F25+Ago!F25+Sep!F25+enero!F25+febrero!F25+marzo!F25</f>
        <v>#REF!</v>
      </c>
      <c r="H21" s="409" t="e">
        <f t="shared" ref="H21" si="12">+G21+G22</f>
        <v>#REF!</v>
      </c>
      <c r="I21" s="170" t="e">
        <f>+Ene!H25+Feb!H25+Mar!H25+#REF!+#REF!+#REF!+Jul!H25+Ago!H25+Sep!H25+enero!H25+febrero!H25+marzo!H25</f>
        <v>#REF!</v>
      </c>
      <c r="J21" s="180" t="e">
        <f>+Ene!I25+Feb!I25+Mar!I25+#REF!+#REF!+#REF!+Jul!I25+Ago!I25+Sep!I25+enero!I25+febrero!I25+marzo!I25</f>
        <v>#REF!</v>
      </c>
      <c r="K21" s="410" t="e">
        <f t="shared" ref="K21" si="13">+J21+J22</f>
        <v>#REF!</v>
      </c>
      <c r="L21" s="172">
        <f t="shared" si="8"/>
        <v>0</v>
      </c>
      <c r="M21" s="173" t="e">
        <f t="shared" si="9"/>
        <v>#REF!</v>
      </c>
    </row>
    <row r="22" spans="2:15" ht="15.75" thickBot="1">
      <c r="B22" s="415"/>
      <c r="C22" s="412"/>
      <c r="D22" s="167" t="s">
        <v>42</v>
      </c>
      <c r="E22" s="168">
        <v>0.35</v>
      </c>
      <c r="F22" s="169" t="e">
        <f>+Ene!C26+Feb!C26+Mar!C26+#REF!+#REF!+#REF!+Jul!C26+Ago!C26+Sep!C26+enero!C26+febrero!C26+marzo!C26</f>
        <v>#REF!</v>
      </c>
      <c r="G22" s="170" t="e">
        <f>+Ene!F26+Feb!F26+Mar!F26+#REF!+#REF!+#REF!+Jul!F26+Ago!F26+Sep!F26+enero!F26+febrero!F26+marzo!F26</f>
        <v>#REF!</v>
      </c>
      <c r="H22" s="409"/>
      <c r="I22" s="168" t="e">
        <f>+Ene!H26+Feb!H26+Mar!H26+#REF!+#REF!+#REF!+Jul!H26+Ago!H26+Sep!H26+enero!H26+febrero!H26+marzo!H26</f>
        <v>#REF!</v>
      </c>
      <c r="J22" s="171" t="e">
        <f>+Ene!I26+Feb!I26+Mar!I26+#REF!+#REF!+#REF!+Jul!I26+Ago!I26+Sep!I26+enero!I26+febrero!I26+marzo!I26</f>
        <v>#REF!</v>
      </c>
      <c r="K22" s="410"/>
      <c r="L22" s="172">
        <f t="shared" si="8"/>
        <v>0</v>
      </c>
      <c r="M22" s="173" t="e">
        <f t="shared" si="9"/>
        <v>#REF!</v>
      </c>
    </row>
    <row r="23" spans="2:15" ht="15.75" thickBot="1">
      <c r="B23" s="415"/>
      <c r="C23" s="168">
        <v>13</v>
      </c>
      <c r="D23" s="167" t="s">
        <v>43</v>
      </c>
      <c r="E23" s="168">
        <v>0.9</v>
      </c>
      <c r="F23" s="169" t="e">
        <f>+Ene!C27+Feb!C27+Mar!C27+#REF!+#REF!+#REF!+Jul!C27+Ago!C27+Sep!C27+enero!C27+febrero!C27+marzo!C27</f>
        <v>#REF!</v>
      </c>
      <c r="G23" s="170" t="e">
        <f>+Ene!F27+Feb!F27+Mar!F27+#REF!+#REF!+#REF!+Jul!F27+Ago!F27+Sep!F27+enero!F27+febrero!F27+marzo!F27</f>
        <v>#REF!</v>
      </c>
      <c r="H23" s="171" t="e">
        <f>+G23</f>
        <v>#REF!</v>
      </c>
      <c r="I23" s="170" t="e">
        <f>+Ene!H27+Feb!H27+Mar!H27+#REF!+#REF!+#REF!+Jul!H27+Ago!H27+Sep!H27+enero!H27+febrero!H27+marzo!H27</f>
        <v>#REF!</v>
      </c>
      <c r="J23" s="171" t="e">
        <f>+Ene!I27+Feb!I27+Mar!I27+#REF!+#REF!+#REF!+Jul!I27+Ago!I27+Sep!I27+enero!I27+febrero!I27+marzo!I27</f>
        <v>#REF!</v>
      </c>
      <c r="K23" s="170" t="e">
        <f>+J23</f>
        <v>#REF!</v>
      </c>
      <c r="L23" s="172">
        <f t="shared" si="8"/>
        <v>0</v>
      </c>
      <c r="M23" s="173" t="e">
        <f t="shared" si="9"/>
        <v>#REF!</v>
      </c>
    </row>
    <row r="24" spans="2:15" ht="15.75" thickBot="1">
      <c r="B24" s="415"/>
      <c r="C24" s="411">
        <v>14</v>
      </c>
      <c r="D24" s="167" t="s">
        <v>44</v>
      </c>
      <c r="E24" s="168">
        <v>25</v>
      </c>
      <c r="F24" s="169" t="e">
        <f>+Ene!C28+Feb!C28+Mar!C28+#REF!+#REF!+#REF!+Jul!C28+Ago!C28+Sep!C28+enero!C28+febrero!C28+marzo!C28</f>
        <v>#REF!</v>
      </c>
      <c r="G24" s="170" t="e">
        <f>+Ene!F28+Feb!F28+Mar!F28+#REF!+#REF!+#REF!+Jul!F28+Ago!F28+Sep!F28+enero!F28+febrero!F28+marzo!F28</f>
        <v>#REF!</v>
      </c>
      <c r="H24" s="409" t="e">
        <f t="shared" ref="H24" si="14">+G24+G25</f>
        <v>#REF!</v>
      </c>
      <c r="I24" s="170" t="e">
        <f>+Ene!H28+Feb!H28+Mar!H28+#REF!+#REF!+#REF!+Jul!H28+Ago!H28+Sep!H28+enero!H28+febrero!H28+marzo!H28</f>
        <v>#REF!</v>
      </c>
      <c r="J24" s="171" t="e">
        <f>+Ene!I28+Feb!I28+Mar!I28+#REF!+#REF!+#REF!+Jul!I28+Ago!I28+Sep!I28+enero!I28+febrero!I28+marzo!I28</f>
        <v>#REF!</v>
      </c>
      <c r="K24" s="410" t="e">
        <f t="shared" ref="K24" si="15">+J24+J25</f>
        <v>#REF!</v>
      </c>
      <c r="L24" s="172">
        <f t="shared" si="8"/>
        <v>0</v>
      </c>
      <c r="M24" s="173" t="e">
        <f t="shared" si="9"/>
        <v>#REF!</v>
      </c>
    </row>
    <row r="25" spans="2:15" ht="15.75" thickBot="1">
      <c r="B25" s="415"/>
      <c r="C25" s="412"/>
      <c r="D25" s="167" t="s">
        <v>45</v>
      </c>
      <c r="E25" s="168">
        <v>25</v>
      </c>
      <c r="F25" s="169" t="e">
        <f>+Ene!C29+Feb!C29+Mar!C29+#REF!+#REF!+#REF!+Jul!C29+Ago!C29+Sep!C29+enero!C29+febrero!C29+marzo!C29</f>
        <v>#REF!</v>
      </c>
      <c r="G25" s="170" t="e">
        <f>+Ene!F29+Feb!F29+Mar!F29+#REF!+#REF!+#REF!+Jul!F29+Ago!F29+Sep!F29+enero!F29+febrero!F29+marzo!F29</f>
        <v>#REF!</v>
      </c>
      <c r="H25" s="409"/>
      <c r="I25" s="168" t="e">
        <f>+Ene!H29+Feb!H29+Mar!H29+#REF!+#REF!+#REF!+Jul!H29+Ago!H29+Sep!H29+enero!H29+febrero!H29+marzo!H29</f>
        <v>#REF!</v>
      </c>
      <c r="J25" s="171" t="e">
        <f>+Ene!I29+Feb!I29+Mar!I29+#REF!+#REF!+#REF!+Jul!I29+Ago!I29+Sep!I29+enero!I29+febrero!I29+marzo!I29</f>
        <v>#REF!</v>
      </c>
      <c r="K25" s="410"/>
      <c r="L25" s="172">
        <f t="shared" si="8"/>
        <v>0</v>
      </c>
      <c r="M25" s="173" t="e">
        <f t="shared" si="9"/>
        <v>#REF!</v>
      </c>
    </row>
    <row r="26" spans="2:15" s="7" customFormat="1" ht="15.75" thickBot="1">
      <c r="B26" s="415"/>
      <c r="C26" s="187" t="s">
        <v>33</v>
      </c>
      <c r="D26" s="188"/>
      <c r="E26" s="174">
        <f>SUM(E15:E25)</f>
        <v>103.72</v>
      </c>
      <c r="F26" s="175" t="e">
        <f t="shared" ref="F26:K26" si="16">SUM(F15:F25)</f>
        <v>#REF!</v>
      </c>
      <c r="G26" s="176" t="e">
        <f t="shared" si="16"/>
        <v>#REF!</v>
      </c>
      <c r="H26" s="177" t="e">
        <f t="shared" si="16"/>
        <v>#REF!</v>
      </c>
      <c r="I26" s="176" t="e">
        <f>SUM(I15:I25)</f>
        <v>#REF!</v>
      </c>
      <c r="J26" s="177" t="e">
        <f t="shared" si="16"/>
        <v>#REF!</v>
      </c>
      <c r="K26" s="176" t="e">
        <f t="shared" si="16"/>
        <v>#REF!</v>
      </c>
      <c r="L26" s="178">
        <f>SUM(L15:L25)</f>
        <v>0</v>
      </c>
      <c r="M26" s="179" t="e">
        <f t="shared" si="9"/>
        <v>#REF!</v>
      </c>
    </row>
    <row r="27" spans="2:15" s="7" customFormat="1" ht="15.75" thickBot="1">
      <c r="B27" s="415"/>
      <c r="C27" s="187" t="s">
        <v>46</v>
      </c>
      <c r="D27" s="188"/>
      <c r="E27" s="174">
        <f>+E13+E26</f>
        <v>276.91999999999996</v>
      </c>
      <c r="F27" s="175" t="e">
        <f t="shared" ref="F27:K27" si="17">+F13+F26</f>
        <v>#REF!</v>
      </c>
      <c r="G27" s="176" t="e">
        <f t="shared" si="17"/>
        <v>#REF!</v>
      </c>
      <c r="H27" s="177" t="e">
        <f t="shared" si="17"/>
        <v>#REF!</v>
      </c>
      <c r="I27" s="176" t="e">
        <f t="shared" si="17"/>
        <v>#REF!</v>
      </c>
      <c r="J27" s="177" t="e">
        <f t="shared" si="17"/>
        <v>#REF!</v>
      </c>
      <c r="K27" s="176" t="e">
        <f t="shared" si="17"/>
        <v>#REF!</v>
      </c>
      <c r="L27" s="178">
        <f>+L13+L26</f>
        <v>0</v>
      </c>
      <c r="M27" s="179" t="e">
        <f t="shared" si="9"/>
        <v>#REF!</v>
      </c>
    </row>
    <row r="28" spans="2:15" ht="15.75" customHeight="1" thickBot="1">
      <c r="B28" s="415" t="s">
        <v>47</v>
      </c>
      <c r="C28" s="416" t="s">
        <v>48</v>
      </c>
      <c r="D28" s="417"/>
      <c r="E28" s="417"/>
      <c r="F28" s="417"/>
      <c r="G28" s="417"/>
      <c r="H28" s="417"/>
      <c r="I28" s="417"/>
      <c r="J28" s="417"/>
      <c r="K28" s="417"/>
      <c r="L28" s="417"/>
      <c r="M28" s="418"/>
    </row>
    <row r="29" spans="2:15" ht="15.75" thickBot="1">
      <c r="B29" s="415"/>
      <c r="C29" s="414">
        <v>15</v>
      </c>
      <c r="D29" s="167" t="s">
        <v>49</v>
      </c>
      <c r="E29" s="168">
        <v>27</v>
      </c>
      <c r="F29" s="169" t="e">
        <f>+Ene!C32+Feb!C32+Mar!C32+#REF!+#REF!+#REF!+Jul!C32+Ago!C32+Sep!C32+enero!C32+febrero!C32+marzo!C32</f>
        <v>#REF!</v>
      </c>
      <c r="G29" s="170" t="e">
        <f>+Ene!F32+Feb!F32+Mar!F32+#REF!+#REF!+#REF!+Jul!F32+Ago!F32+Sep!F32+enero!F32+febrero!F32+marzo!F32</f>
        <v>#REF!</v>
      </c>
      <c r="H29" s="409" t="e">
        <f t="shared" ref="H29" si="18">+G29+G30</f>
        <v>#REF!</v>
      </c>
      <c r="I29" s="168" t="e">
        <f>+Ene!H32+Feb!H32+Mar!H32+#REF!+#REF!+#REF!+Jul!H32+Ago!H32+Sep!H32+enero!H32+febrero!H32+marzo!H32</f>
        <v>#REF!</v>
      </c>
      <c r="J29" s="171" t="e">
        <f>+Ene!I32+Feb!I32+Mar!I32+#REF!+#REF!+#REF!+Jul!I32+Ago!I32+Sep!I32+enero!I32+febrero!I32+marzo!I32</f>
        <v>#REF!</v>
      </c>
      <c r="K29" s="410" t="e">
        <f t="shared" ref="K29" si="19">+J29+J30</f>
        <v>#REF!</v>
      </c>
      <c r="L29" s="172">
        <f t="shared" ref="L29:L37" si="20">IFERROR(+G29/F29/1000,0)</f>
        <v>0</v>
      </c>
      <c r="M29" s="173" t="e">
        <f t="shared" si="9"/>
        <v>#REF!</v>
      </c>
    </row>
    <row r="30" spans="2:15" ht="15.75" thickBot="1">
      <c r="B30" s="415"/>
      <c r="C30" s="414"/>
      <c r="D30" s="167" t="s">
        <v>50</v>
      </c>
      <c r="E30" s="168">
        <v>27</v>
      </c>
      <c r="F30" s="169" t="e">
        <f>+Ene!C33+Feb!C33+Mar!C33+#REF!+#REF!+#REF!+Jul!C33+Ago!C33+Sep!C33+enero!C33+febrero!C33+marzo!C33</f>
        <v>#REF!</v>
      </c>
      <c r="G30" s="170" t="e">
        <f>+Ene!F33+Feb!F33+Mar!F33+#REF!+#REF!+#REF!+Jul!F33+Ago!F33+Sep!F33+enero!F33+febrero!F33+marzo!F33</f>
        <v>#REF!</v>
      </c>
      <c r="H30" s="409"/>
      <c r="I30" s="168" t="e">
        <f>+Ene!H33+Feb!H33+Mar!H33+#REF!+#REF!+#REF!+Jul!H33+Ago!H33+Sep!H33+enero!H33+febrero!H33+marzo!H33</f>
        <v>#REF!</v>
      </c>
      <c r="J30" s="171" t="e">
        <f>+Ene!I33+Feb!I33+Mar!I33+#REF!+#REF!+#REF!+Jul!I33+Ago!I33+Sep!I33+enero!I33+febrero!I33+marzo!I33</f>
        <v>#REF!</v>
      </c>
      <c r="K30" s="410"/>
      <c r="L30" s="172">
        <f t="shared" si="20"/>
        <v>0</v>
      </c>
      <c r="M30" s="173" t="e">
        <f t="shared" si="9"/>
        <v>#REF!</v>
      </c>
    </row>
    <row r="31" spans="2:15" ht="15.75" thickBot="1">
      <c r="B31" s="415"/>
      <c r="C31" s="414">
        <v>16</v>
      </c>
      <c r="D31" s="167" t="s">
        <v>51</v>
      </c>
      <c r="E31" s="168">
        <v>49</v>
      </c>
      <c r="F31" s="169" t="e">
        <f>+Ene!C34+Feb!C34+Mar!C34+#REF!+#REF!+#REF!+Jul!C34+Ago!C34+Sep!C34+enero!C34+febrero!C34+marzo!C34</f>
        <v>#REF!</v>
      </c>
      <c r="G31" s="170" t="e">
        <f>+Ene!F34+Feb!F34+Mar!F34+#REF!+#REF!+#REF!+Jul!F34+Ago!F34+Sep!F34+enero!F34+febrero!F34+marzo!F34</f>
        <v>#REF!</v>
      </c>
      <c r="H31" s="409" t="e">
        <f t="shared" ref="H31" si="21">+G31+G32</f>
        <v>#REF!</v>
      </c>
      <c r="I31" s="168" t="e">
        <f>+Ene!H34+Feb!H34+Mar!H34+#REF!+#REF!+#REF!+Jul!H34+Ago!H34+Sep!H34+enero!H34+febrero!H34+marzo!H34</f>
        <v>#REF!</v>
      </c>
      <c r="J31" s="171" t="e">
        <f>+Ene!I34+Feb!I34+Mar!I34+#REF!+#REF!+#REF!+Jul!I34+Ago!I34+Sep!I34+enero!I34+febrero!I34+marzo!I34</f>
        <v>#REF!</v>
      </c>
      <c r="K31" s="410" t="e">
        <f t="shared" ref="K31" si="22">+J31+J32</f>
        <v>#REF!</v>
      </c>
      <c r="L31" s="172">
        <f t="shared" si="20"/>
        <v>0</v>
      </c>
      <c r="M31" s="173" t="e">
        <f>(G31/$G$53)*100</f>
        <v>#REF!</v>
      </c>
      <c r="N31" s="3"/>
    </row>
    <row r="32" spans="2:15" ht="15.75" thickBot="1">
      <c r="B32" s="415"/>
      <c r="C32" s="414"/>
      <c r="D32" s="167" t="s">
        <v>52</v>
      </c>
      <c r="E32" s="168">
        <v>49</v>
      </c>
      <c r="F32" s="169" t="e">
        <f>+Ene!C35+Feb!C35+Mar!C35+#REF!+#REF!+#REF!+Jul!C35+Ago!C35+Sep!C35+enero!C35+febrero!C35+marzo!C35</f>
        <v>#REF!</v>
      </c>
      <c r="G32" s="170" t="e">
        <f>+Ene!F35+Feb!F35+Mar!F35+#REF!+#REF!+#REF!+Jul!F35+Ago!F35+Sep!F35+enero!F35+febrero!F35+marzo!F35</f>
        <v>#REF!</v>
      </c>
      <c r="H32" s="409"/>
      <c r="I32" s="170" t="e">
        <f>+Ene!H35+Feb!H35+Mar!H35+#REF!+#REF!+#REF!+Jul!H35+Ago!H35+Sep!H35+enero!H35+febrero!H35+marzo!H35</f>
        <v>#REF!</v>
      </c>
      <c r="J32" s="171" t="e">
        <f>+Ene!I35+Feb!I35+Mar!I35+#REF!+#REF!+#REF!+Jul!I35+Ago!I35+Sep!I35+enero!I35+febrero!I35+marzo!I35</f>
        <v>#REF!</v>
      </c>
      <c r="K32" s="410"/>
      <c r="L32" s="172">
        <f t="shared" si="20"/>
        <v>0</v>
      </c>
      <c r="M32" s="173" t="e">
        <f>(G32/$G$53)*100</f>
        <v>#REF!</v>
      </c>
    </row>
    <row r="33" spans="2:14" ht="15.75" thickBot="1">
      <c r="B33" s="415"/>
      <c r="C33" s="414">
        <v>17</v>
      </c>
      <c r="D33" s="167" t="s">
        <v>53</v>
      </c>
      <c r="E33" s="168">
        <v>30</v>
      </c>
      <c r="F33" s="169" t="e">
        <f>+Ene!C36+Feb!C36+Mar!C36+#REF!+#REF!+#REF!+Jul!C36+Ago!C36+Sep!C36+enero!C36+febrero!C36+marzo!C36</f>
        <v>#REF!</v>
      </c>
      <c r="G33" s="170" t="e">
        <f>+Ene!F36+Feb!F36+Mar!F36+#REF!+#REF!+#REF!+Jul!F36+Ago!F36+Sep!F36+enero!F36+febrero!F36+marzo!F36</f>
        <v>#REF!</v>
      </c>
      <c r="H33" s="409" t="e">
        <f t="shared" ref="H33" si="23">+G33+G34</f>
        <v>#REF!</v>
      </c>
      <c r="I33" s="170" t="e">
        <f>+Ene!H36+Feb!H36+Mar!H36+#REF!+#REF!+#REF!+Jul!H36+Ago!H36+Sep!H36+enero!H36+febrero!H36+marzo!H36</f>
        <v>#REF!</v>
      </c>
      <c r="J33" s="171" t="e">
        <f>+Ene!I36+Feb!I36+Mar!I36+#REF!+#REF!+#REF!+Jul!I36+Ago!I36+Sep!I36+enero!I36+febrero!I36+marzo!I36</f>
        <v>#REF!</v>
      </c>
      <c r="K33" s="410" t="e">
        <f t="shared" ref="K33" si="24">+J33+J34</f>
        <v>#REF!</v>
      </c>
      <c r="L33" s="172">
        <f t="shared" si="20"/>
        <v>0</v>
      </c>
      <c r="M33" s="173" t="e">
        <f>(G33/$G$53)*100</f>
        <v>#REF!</v>
      </c>
      <c r="N33" s="3"/>
    </row>
    <row r="34" spans="2:14" ht="15.75" thickBot="1">
      <c r="B34" s="415"/>
      <c r="C34" s="414"/>
      <c r="D34" s="167" t="s">
        <v>54</v>
      </c>
      <c r="E34" s="168">
        <v>30</v>
      </c>
      <c r="F34" s="169" t="e">
        <f>+Ene!C37+Feb!C37+Mar!C37+#REF!+#REF!+#REF!+Jul!C37+Ago!C37+Sep!C37+enero!C37+febrero!C37+marzo!C37</f>
        <v>#REF!</v>
      </c>
      <c r="G34" s="170" t="e">
        <f>+Ene!F37+Feb!F37+Mar!F37+#REF!+#REF!+#REF!+Jul!F37+Ago!F37+Sep!F37+enero!F37+febrero!F37+marzo!F37</f>
        <v>#REF!</v>
      </c>
      <c r="H34" s="409"/>
      <c r="I34" s="168" t="e">
        <f>+Ene!H37+Feb!H37+Mar!H37+#REF!+#REF!+#REF!+Jul!H37+Ago!H37+Sep!H37+enero!H37+febrero!H37+marzo!H37</f>
        <v>#REF!</v>
      </c>
      <c r="J34" s="171" t="e">
        <f>+Ene!I37+Feb!I37+Mar!I37+#REF!+#REF!+#REF!+Jul!I37+Ago!I37+Sep!I37+enero!I37+febrero!I37+marzo!I37</f>
        <v>#REF!</v>
      </c>
      <c r="K34" s="410"/>
      <c r="L34" s="172">
        <f t="shared" si="20"/>
        <v>0</v>
      </c>
      <c r="M34" s="173" t="e">
        <f t="shared" si="9"/>
        <v>#REF!</v>
      </c>
    </row>
    <row r="35" spans="2:14" ht="15.75" thickBot="1">
      <c r="B35" s="415"/>
      <c r="C35" s="168">
        <v>18</v>
      </c>
      <c r="D35" s="167" t="s">
        <v>55</v>
      </c>
      <c r="E35" s="168">
        <v>0.33</v>
      </c>
      <c r="F35" s="169" t="e">
        <f>+Ene!C38+Feb!C38+Mar!C38+#REF!+#REF!+#REF!+Jul!C38+Ago!C38+Sep!C38+enero!C38+febrero!C38+marzo!C38</f>
        <v>#REF!</v>
      </c>
      <c r="G35" s="170" t="e">
        <f>+Ene!F38+Feb!F38+Mar!F38+#REF!+#REF!+#REF!+Jul!F38+Ago!F38+Sep!F38+enero!F38+febrero!F38+marzo!F38</f>
        <v>#REF!</v>
      </c>
      <c r="H35" s="171" t="e">
        <f t="shared" ref="H35:H37" si="25">+G35</f>
        <v>#REF!</v>
      </c>
      <c r="I35" s="170" t="e">
        <f>+Ene!H38+Feb!H38+Mar!H38+#REF!+#REF!+#REF!+Jul!H38+Ago!H38+Sep!H38+enero!H38+febrero!H38+marzo!H38</f>
        <v>#REF!</v>
      </c>
      <c r="J35" s="171" t="e">
        <f>+Ene!I38+Feb!I38+Mar!I38+#REF!+#REF!+#REF!+Jul!I38+Ago!I38+Sep!I38+enero!I38+febrero!I38+marzo!I38</f>
        <v>#REF!</v>
      </c>
      <c r="K35" s="170" t="e">
        <f t="shared" ref="K35:K37" si="26">+J35</f>
        <v>#REF!</v>
      </c>
      <c r="L35" s="172">
        <f t="shared" si="20"/>
        <v>0</v>
      </c>
      <c r="M35" s="173" t="e">
        <f t="shared" si="9"/>
        <v>#REF!</v>
      </c>
    </row>
    <row r="36" spans="2:14" ht="15.75" thickBot="1">
      <c r="B36" s="415"/>
      <c r="C36" s="168">
        <v>19</v>
      </c>
      <c r="D36" s="167" t="s">
        <v>56</v>
      </c>
      <c r="E36" s="168">
        <v>0.11</v>
      </c>
      <c r="F36" s="169" t="e">
        <f>+Ene!C39+Feb!C39+Mar!C39+#REF!+#REF!+#REF!+Jul!C39+Ago!C39+Sep!C39+enero!C39+febrero!C39+marzo!C39</f>
        <v>#REF!</v>
      </c>
      <c r="G36" s="168" t="e">
        <f>+Ene!F39+Feb!F39+Mar!F39+#REF!+#REF!+#REF!+Jul!F39+Ago!F39+Sep!F39+enero!F39+febrero!F39+marzo!F39</f>
        <v>#REF!</v>
      </c>
      <c r="H36" s="180" t="e">
        <f t="shared" si="25"/>
        <v>#REF!</v>
      </c>
      <c r="I36" s="168" t="e">
        <f>+Ene!H39+Feb!H39+Mar!H39+#REF!+#REF!+#REF!+Jul!H39+Ago!H39+Sep!H39+enero!H39+febrero!H39+marzo!H39</f>
        <v>#REF!</v>
      </c>
      <c r="J36" s="180" t="e">
        <f>+Ene!I39+Feb!I39+Mar!I39+#REF!+#REF!+#REF!+Jul!I39+Ago!I39+Sep!I39+enero!I39+febrero!I39+marzo!I39</f>
        <v>#REF!</v>
      </c>
      <c r="K36" s="168" t="e">
        <f t="shared" si="26"/>
        <v>#REF!</v>
      </c>
      <c r="L36" s="172">
        <f t="shared" si="20"/>
        <v>0</v>
      </c>
      <c r="M36" s="173" t="e">
        <f t="shared" si="9"/>
        <v>#REF!</v>
      </c>
    </row>
    <row r="37" spans="2:14" ht="15.75" thickBot="1">
      <c r="B37" s="415"/>
      <c r="C37" s="168">
        <v>20</v>
      </c>
      <c r="D37" s="167" t="s">
        <v>57</v>
      </c>
      <c r="E37" s="168">
        <v>0.85</v>
      </c>
      <c r="F37" s="169" t="e">
        <f>+Ene!C40+Feb!C40+Mar!C40+#REF!+#REF!+#REF!+Jul!C40+Ago!C40+Sep!C40+enero!C40+febrero!C40+marzo!C40</f>
        <v>#REF!</v>
      </c>
      <c r="G37" s="170" t="e">
        <f>+Ene!F40+Feb!F40+Mar!F40+#REF!+#REF!+#REF!+Jul!F40+Ago!F40+Sep!F40+enero!F40+febrero!F40+marzo!F40</f>
        <v>#REF!</v>
      </c>
      <c r="H37" s="171" t="e">
        <f t="shared" si="25"/>
        <v>#REF!</v>
      </c>
      <c r="I37" s="170" t="e">
        <f>+Ene!H40+Feb!H40+Mar!H40+#REF!+#REF!+#REF!+Jul!H40+Ago!H40+Sep!H40+enero!H40+febrero!H40+marzo!H40</f>
        <v>#REF!</v>
      </c>
      <c r="J37" s="171" t="e">
        <f>+Ene!I40+Feb!I40+Mar!I40+#REF!+#REF!+#REF!+Jul!I40+Ago!I40+Sep!I40+enero!I40+febrero!I40+marzo!I40</f>
        <v>#REF!</v>
      </c>
      <c r="K37" s="170" t="e">
        <f t="shared" si="26"/>
        <v>#REF!</v>
      </c>
      <c r="L37" s="172">
        <f t="shared" si="20"/>
        <v>0</v>
      </c>
      <c r="M37" s="173" t="e">
        <f t="shared" si="9"/>
        <v>#REF!</v>
      </c>
    </row>
    <row r="38" spans="2:14" s="7" customFormat="1" ht="15.75" thickBot="1">
      <c r="B38" s="415"/>
      <c r="C38" s="419" t="s">
        <v>33</v>
      </c>
      <c r="D38" s="420"/>
      <c r="E38" s="174">
        <f>SUM(E29:E37)</f>
        <v>213.29000000000002</v>
      </c>
      <c r="F38" s="175" t="e">
        <f>SUM(F29:F37)</f>
        <v>#REF!</v>
      </c>
      <c r="G38" s="176" t="e">
        <f t="shared" ref="G38:L38" si="27">SUM(G29:G37)</f>
        <v>#REF!</v>
      </c>
      <c r="H38" s="177" t="e">
        <f t="shared" si="27"/>
        <v>#REF!</v>
      </c>
      <c r="I38" s="176" t="e">
        <f t="shared" si="27"/>
        <v>#REF!</v>
      </c>
      <c r="J38" s="177" t="e">
        <f t="shared" si="27"/>
        <v>#REF!</v>
      </c>
      <c r="K38" s="176" t="e">
        <f t="shared" si="27"/>
        <v>#REF!</v>
      </c>
      <c r="L38" s="178">
        <f t="shared" si="27"/>
        <v>0</v>
      </c>
      <c r="M38" s="179" t="e">
        <f t="shared" si="9"/>
        <v>#REF!</v>
      </c>
    </row>
    <row r="39" spans="2:14" ht="15.75" thickBot="1">
      <c r="B39" s="415"/>
      <c r="C39" s="416" t="s">
        <v>58</v>
      </c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2:14" ht="15.75" thickBot="1">
      <c r="B40" s="415"/>
      <c r="C40" s="168">
        <v>21</v>
      </c>
      <c r="D40" s="167" t="s">
        <v>59</v>
      </c>
      <c r="E40" s="168">
        <v>13</v>
      </c>
      <c r="F40" s="169" t="e">
        <f>+Ene!C43+Feb!C43+Mar!C43+#REF!+#REF!+#REF!+Jul!C43+Ago!C43+Sep!C43+enero!C43+febrero!C43+marzo!C43</f>
        <v>#REF!</v>
      </c>
      <c r="G40" s="170" t="e">
        <f>+Ene!F43+Feb!F43+Mar!F43+#REF!+#REF!+#REF!+Jul!F43+Ago!F43+Sep!F43+enero!F43+febrero!F43+marzo!F43</f>
        <v>#REF!</v>
      </c>
      <c r="H40" s="171" t="e">
        <f t="shared" ref="H40:H42" si="28">+G40</f>
        <v>#REF!</v>
      </c>
      <c r="I40" s="170" t="e">
        <f>+Ene!H43+Feb!H43+Mar!H43+#REF!+#REF!+#REF!+Jul!H43+Ago!H43+Sep!H43+enero!H43+febrero!H43+marzo!H43</f>
        <v>#REF!</v>
      </c>
      <c r="J40" s="171" t="e">
        <f>+Ene!I43+Feb!I43+Mar!I43+#REF!+#REF!+#REF!+Jul!I43+Ago!I43+Sep!I43+enero!I43+febrero!I43+marzo!I43</f>
        <v>#REF!</v>
      </c>
      <c r="K40" s="170" t="e">
        <f t="shared" ref="K40:K42" si="29">+J40</f>
        <v>#REF!</v>
      </c>
      <c r="L40" s="172">
        <f t="shared" ref="L40:L50" si="30">IFERROR(+G40/F40/1000,0)</f>
        <v>0</v>
      </c>
      <c r="M40" s="173" t="e">
        <f t="shared" si="9"/>
        <v>#REF!</v>
      </c>
    </row>
    <row r="41" spans="2:14" ht="15.75" thickBot="1">
      <c r="B41" s="415"/>
      <c r="C41" s="168">
        <v>22</v>
      </c>
      <c r="D41" s="167" t="s">
        <v>60</v>
      </c>
      <c r="E41" s="168">
        <v>6.3</v>
      </c>
      <c r="F41" s="169" t="e">
        <f>+Ene!C44+Feb!C44+Mar!C44+#REF!+#REF!+#REF!+Jul!C44+Ago!C44+Sep!C44+enero!C44+febrero!C44+marzo!C44</f>
        <v>#REF!</v>
      </c>
      <c r="G41" s="170" t="e">
        <f>+Ene!F44+Feb!F44+Mar!F44+#REF!+#REF!+#REF!+Jul!F44+Ago!F44+Sep!F44+enero!F44+febrero!F44+marzo!F44</f>
        <v>#REF!</v>
      </c>
      <c r="H41" s="171" t="e">
        <f t="shared" si="28"/>
        <v>#REF!</v>
      </c>
      <c r="I41" s="170" t="e">
        <f>+Ene!H44+Feb!H44+Mar!H44+#REF!+#REF!+#REF!+Jul!H44+Ago!H44+Sep!H44+enero!H44+febrero!H44+marzo!H44</f>
        <v>#REF!</v>
      </c>
      <c r="J41" s="171" t="e">
        <f>+Ene!I44+Feb!I44+Mar!I44+#REF!+#REF!+#REF!+Jul!I44+Ago!I44+Sep!I44+enero!I44+febrero!I44+marzo!I44</f>
        <v>#REF!</v>
      </c>
      <c r="K41" s="170" t="e">
        <f t="shared" si="29"/>
        <v>#REF!</v>
      </c>
      <c r="L41" s="172">
        <f t="shared" si="30"/>
        <v>0</v>
      </c>
      <c r="M41" s="173" t="e">
        <f t="shared" si="9"/>
        <v>#REF!</v>
      </c>
    </row>
    <row r="42" spans="2:14" ht="15.75" thickBot="1">
      <c r="B42" s="415"/>
      <c r="C42" s="168">
        <v>23</v>
      </c>
      <c r="D42" s="167" t="s">
        <v>61</v>
      </c>
      <c r="E42" s="168">
        <v>7.5</v>
      </c>
      <c r="F42" s="169" t="e">
        <f>+Ene!C45+Feb!C45+Mar!C45+#REF!+#REF!+#REF!+Jul!C45+Ago!C45+Sep!C45+enero!C45+febrero!C45+marzo!C45</f>
        <v>#REF!</v>
      </c>
      <c r="G42" s="170" t="e">
        <f>+Ene!F45+Feb!F45+Mar!F45+#REF!+#REF!+#REF!+Jul!F45+Ago!F45+Sep!F45+enero!F45+febrero!F45+marzo!F45</f>
        <v>#REF!</v>
      </c>
      <c r="H42" s="171" t="e">
        <f t="shared" si="28"/>
        <v>#REF!</v>
      </c>
      <c r="I42" s="170" t="e">
        <f>+Ene!H45+Feb!H45+Mar!H45+#REF!+#REF!+#REF!+Jul!H45+Ago!H45+Sep!H45+enero!H45+febrero!H45+marzo!H45</f>
        <v>#REF!</v>
      </c>
      <c r="J42" s="171" t="e">
        <f>+Ene!I45+Feb!I45+Mar!I45+#REF!+#REF!+#REF!+Jul!I45+Ago!I45+Sep!I45+enero!I45+febrero!I45+marzo!I45</f>
        <v>#REF!</v>
      </c>
      <c r="K42" s="170" t="e">
        <f t="shared" si="29"/>
        <v>#REF!</v>
      </c>
      <c r="L42" s="172">
        <f t="shared" si="30"/>
        <v>0</v>
      </c>
      <c r="M42" s="173" t="e">
        <f t="shared" si="9"/>
        <v>#REF!</v>
      </c>
    </row>
    <row r="43" spans="2:14" ht="15.75" thickBot="1">
      <c r="B43" s="415"/>
      <c r="C43" s="414">
        <v>24</v>
      </c>
      <c r="D43" s="167" t="s">
        <v>62</v>
      </c>
      <c r="E43" s="168">
        <v>4.8499999999999996</v>
      </c>
      <c r="F43" s="169" t="e">
        <f>+Ene!C46+Feb!C46+Mar!C46+#REF!+#REF!+#REF!+Jul!C46+Ago!C46+Sep!C46+enero!C46+febrero!C46+marzo!C46</f>
        <v>#REF!</v>
      </c>
      <c r="G43" s="170" t="e">
        <f>+Ene!F46+Feb!F46+Mar!F46+#REF!+#REF!+#REF!+Jul!F46+Ago!F46+Sep!F46+enero!F46+febrero!F46+marzo!F46</f>
        <v>#REF!</v>
      </c>
      <c r="H43" s="409" t="e">
        <f t="shared" ref="H43:H49" si="31">+G43+G44</f>
        <v>#REF!</v>
      </c>
      <c r="I43" s="170" t="e">
        <f>+Ene!H46+Feb!H46+Mar!H46+#REF!+#REF!+#REF!+Jul!H46+Ago!H46+Sep!H46+enero!H46+febrero!H46+marzo!H46</f>
        <v>#REF!</v>
      </c>
      <c r="J43" s="171" t="e">
        <f>+Ene!I46+Feb!I46+Mar!I46+#REF!+#REF!+#REF!+Jul!I46+Ago!I46+Sep!I46+enero!I46+febrero!I46+marzo!I46</f>
        <v>#REF!</v>
      </c>
      <c r="K43" s="410" t="e">
        <f t="shared" ref="K43:K49" si="32">+J43+J44</f>
        <v>#REF!</v>
      </c>
      <c r="L43" s="172">
        <f t="shared" si="30"/>
        <v>0</v>
      </c>
      <c r="M43" s="173" t="e">
        <f t="shared" si="9"/>
        <v>#REF!</v>
      </c>
    </row>
    <row r="44" spans="2:14" ht="15.75" thickBot="1">
      <c r="B44" s="415"/>
      <c r="C44" s="414"/>
      <c r="D44" s="167" t="s">
        <v>63</v>
      </c>
      <c r="E44" s="168">
        <v>4.8499999999999996</v>
      </c>
      <c r="F44" s="169" t="e">
        <f>+Ene!C47+Feb!C47+Mar!C47+#REF!+#REF!+#REF!+Jul!C47+Ago!C47+Sep!C47+enero!C47+febrero!C47+marzo!C47</f>
        <v>#REF!</v>
      </c>
      <c r="G44" s="170" t="e">
        <f>+Ene!F47+Feb!F47+Mar!F47+#REF!+#REF!+#REF!+Jul!F47+Ago!F47+Sep!F47+enero!F47+febrero!F47+marzo!F47</f>
        <v>#REF!</v>
      </c>
      <c r="H44" s="409"/>
      <c r="I44" s="168" t="e">
        <f>+Ene!H47+Feb!H47+Mar!H47+#REF!+#REF!+#REF!+Jul!H47+Ago!H47+Sep!H47+enero!H47+febrero!H47+marzo!H47</f>
        <v>#REF!</v>
      </c>
      <c r="J44" s="171" t="e">
        <f>+Ene!I47+Feb!I47+Mar!I47+#REF!+#REF!+#REF!+Jul!I47+Ago!I47+Sep!I47+enero!I47+febrero!I47+marzo!I47</f>
        <v>#REF!</v>
      </c>
      <c r="K44" s="410"/>
      <c r="L44" s="172">
        <f t="shared" si="30"/>
        <v>0</v>
      </c>
      <c r="M44" s="173" t="e">
        <f t="shared" si="9"/>
        <v>#REF!</v>
      </c>
    </row>
    <row r="45" spans="2:14" ht="15.75" thickBot="1">
      <c r="B45" s="415"/>
      <c r="C45" s="414">
        <v>25</v>
      </c>
      <c r="D45" s="167" t="s">
        <v>64</v>
      </c>
      <c r="E45" s="168">
        <v>1.95</v>
      </c>
      <c r="F45" s="169" t="e">
        <f>+Ene!C48+Feb!C48+Mar!C48+#REF!+#REF!+#REF!+Jul!C48+Ago!C48+Sep!C48+enero!C48+febrero!C48+marzo!C48</f>
        <v>#REF!</v>
      </c>
      <c r="G45" s="170" t="e">
        <f>+Ene!F48+Feb!F48+Mar!F48+#REF!+#REF!+#REF!+Jul!F48+Ago!F48+Sep!F48+enero!F48+febrero!F48+marzo!F48</f>
        <v>#REF!</v>
      </c>
      <c r="H45" s="409" t="e">
        <f t="shared" si="31"/>
        <v>#REF!</v>
      </c>
      <c r="I45" s="170" t="e">
        <f>+Ene!H48+Feb!H48+Mar!H48+#REF!+#REF!+#REF!+Jul!H48+Ago!H48+Sep!H48+enero!H48+febrero!H48+marzo!H48</f>
        <v>#REF!</v>
      </c>
      <c r="J45" s="171" t="e">
        <f>+Ene!I48+Feb!I48+Mar!I48+#REF!+#REF!+#REF!+Jul!I48+Ago!I48+Sep!I48+enero!I48+febrero!I48+marzo!I48</f>
        <v>#REF!</v>
      </c>
      <c r="K45" s="410" t="e">
        <f t="shared" si="32"/>
        <v>#REF!</v>
      </c>
      <c r="L45" s="172">
        <f t="shared" si="30"/>
        <v>0</v>
      </c>
      <c r="M45" s="173" t="e">
        <f t="shared" si="9"/>
        <v>#REF!</v>
      </c>
    </row>
    <row r="46" spans="2:14" ht="15.75" thickBot="1">
      <c r="B46" s="415"/>
      <c r="C46" s="414"/>
      <c r="D46" s="167" t="s">
        <v>65</v>
      </c>
      <c r="E46" s="168">
        <v>1.95</v>
      </c>
      <c r="F46" s="169" t="e">
        <f>+Ene!C49+Feb!C49+Mar!C49+#REF!+#REF!+#REF!+Jul!C49+Ago!C49+Sep!C49+enero!C49+febrero!C49+marzo!C49</f>
        <v>#REF!</v>
      </c>
      <c r="G46" s="170" t="e">
        <f>+Ene!F49+Feb!F49+Mar!F49+#REF!+#REF!+#REF!+Jul!F49+Ago!F49+Sep!F49+enero!F49+febrero!F49+marzo!F49</f>
        <v>#REF!</v>
      </c>
      <c r="H46" s="409"/>
      <c r="I46" s="168" t="e">
        <f>+Ene!H49+Feb!H49+Mar!H49+#REF!+#REF!+#REF!+Jul!H49+Ago!H49+Sep!H49+enero!H49+febrero!H49+marzo!H49</f>
        <v>#REF!</v>
      </c>
      <c r="J46" s="171" t="e">
        <f>+Ene!I49+Feb!I49+Mar!I49+#REF!+#REF!+#REF!+Jul!I49+Ago!I49+Sep!I49+enero!I49+febrero!I49+marzo!I49</f>
        <v>#REF!</v>
      </c>
      <c r="K46" s="410"/>
      <c r="L46" s="172">
        <f t="shared" si="30"/>
        <v>0</v>
      </c>
      <c r="M46" s="173" t="e">
        <f t="shared" si="9"/>
        <v>#REF!</v>
      </c>
    </row>
    <row r="47" spans="2:14" ht="15.75" thickBot="1">
      <c r="B47" s="415"/>
      <c r="C47" s="414">
        <v>26</v>
      </c>
      <c r="D47" s="167" t="s">
        <v>66</v>
      </c>
      <c r="E47" s="168">
        <v>1.6</v>
      </c>
      <c r="F47" s="169" t="e">
        <f>+Ene!C50+Feb!C50+Mar!C50+#REF!+#REF!+#REF!+Jul!C50+Ago!C50+Sep!C50+enero!C50+febrero!C50+marzo!C50</f>
        <v>#REF!</v>
      </c>
      <c r="G47" s="170" t="e">
        <f>+Ene!F50+Feb!F50+Mar!F50+#REF!+#REF!+#REF!+Jul!F50+Ago!F50+Sep!F50+enero!F50+febrero!F50+marzo!F50</f>
        <v>#REF!</v>
      </c>
      <c r="H47" s="409" t="e">
        <f t="shared" si="31"/>
        <v>#REF!</v>
      </c>
      <c r="I47" s="170" t="e">
        <f>+Ene!H50+Feb!H50+Mar!H50+#REF!+#REF!+#REF!+Jul!H50+Ago!H50+Sep!H50+enero!H50+febrero!H50+marzo!H50</f>
        <v>#REF!</v>
      </c>
      <c r="J47" s="171" t="e">
        <f>+Ene!I50+Feb!I50+Mar!I50+#REF!+#REF!+#REF!+Jul!I50+Ago!I50+Sep!I50+enero!I50+febrero!I50+marzo!I50</f>
        <v>#REF!</v>
      </c>
      <c r="K47" s="410" t="e">
        <f t="shared" si="32"/>
        <v>#REF!</v>
      </c>
      <c r="L47" s="172">
        <f t="shared" si="30"/>
        <v>0</v>
      </c>
      <c r="M47" s="173" t="e">
        <f t="shared" si="9"/>
        <v>#REF!</v>
      </c>
    </row>
    <row r="48" spans="2:14" ht="15.75" thickBot="1">
      <c r="B48" s="415"/>
      <c r="C48" s="414"/>
      <c r="D48" s="167" t="s">
        <v>67</v>
      </c>
      <c r="E48" s="168">
        <v>1.6</v>
      </c>
      <c r="F48" s="169" t="e">
        <f>+Ene!C51+Feb!C51+Mar!C51+#REF!+#REF!+#REF!+Jul!C51+Ago!C51+Sep!C51+enero!C51+febrero!C51+marzo!C51</f>
        <v>#REF!</v>
      </c>
      <c r="G48" s="170" t="e">
        <f>+Ene!F51+Feb!F51+Mar!F51+#REF!+#REF!+#REF!+Jul!F51+Ago!F51+Sep!F51+enero!F51+febrero!F51+marzo!F51</f>
        <v>#REF!</v>
      </c>
      <c r="H48" s="409"/>
      <c r="I48" s="168" t="e">
        <f>+Ene!H51+Feb!H51+Mar!H51+#REF!+#REF!+#REF!+Jul!H51+Ago!H51+Sep!H51+enero!H51+febrero!H51+marzo!H51</f>
        <v>#REF!</v>
      </c>
      <c r="J48" s="171" t="e">
        <f>+Ene!I51+Feb!I51+Mar!I51+#REF!+#REF!+#REF!+Jul!I51+Ago!I51+Sep!I51+enero!I51+febrero!I51+marzo!I51</f>
        <v>#REF!</v>
      </c>
      <c r="K48" s="410"/>
      <c r="L48" s="172">
        <f t="shared" si="30"/>
        <v>0</v>
      </c>
      <c r="M48" s="173" t="e">
        <f t="shared" si="9"/>
        <v>#REF!</v>
      </c>
    </row>
    <row r="49" spans="2:13" ht="15.75" thickBot="1">
      <c r="B49" s="415"/>
      <c r="C49" s="414">
        <v>27</v>
      </c>
      <c r="D49" s="167" t="s">
        <v>68</v>
      </c>
      <c r="E49" s="168">
        <v>40</v>
      </c>
      <c r="F49" s="169" t="e">
        <f>+Ene!C52+Feb!C52+Mar!C52+#REF!+#REF!+#REF!+Jul!C52+Ago!C52+Sep!C52+enero!C52+febrero!C52+marzo!C52</f>
        <v>#REF!</v>
      </c>
      <c r="G49" s="170" t="e">
        <f>+Ene!F52+Feb!F52+Mar!F52+#REF!+#REF!+#REF!+Jul!F52+Ago!F52+Sep!F52+enero!F52+febrero!F52+marzo!F52</f>
        <v>#REF!</v>
      </c>
      <c r="H49" s="409" t="e">
        <f t="shared" si="31"/>
        <v>#REF!</v>
      </c>
      <c r="I49" s="170" t="e">
        <f>+Ene!H52+Feb!H52+Mar!H52+#REF!+#REF!+#REF!+Jul!H52+Ago!H52+Sep!H52+enero!H52+febrero!H52+marzo!H52</f>
        <v>#REF!</v>
      </c>
      <c r="J49" s="171" t="e">
        <f>+Ene!I52+Feb!I52+Mar!I52+#REF!+#REF!+#REF!+Jul!I52+Ago!I52+Sep!I52+enero!I52+febrero!I52+marzo!I52</f>
        <v>#REF!</v>
      </c>
      <c r="K49" s="410" t="e">
        <f t="shared" si="32"/>
        <v>#REF!</v>
      </c>
      <c r="L49" s="172">
        <f t="shared" si="30"/>
        <v>0</v>
      </c>
      <c r="M49" s="173" t="e">
        <f t="shared" si="9"/>
        <v>#REF!</v>
      </c>
    </row>
    <row r="50" spans="2:13" ht="15.75" thickBot="1">
      <c r="B50" s="415"/>
      <c r="C50" s="414"/>
      <c r="D50" s="167" t="s">
        <v>69</v>
      </c>
      <c r="E50" s="168">
        <v>40</v>
      </c>
      <c r="F50" s="169" t="e">
        <f>+Ene!C53+Feb!C53+Mar!C53+#REF!+#REF!+#REF!+Jul!C53+Ago!C53+Sep!C53+enero!C53+febrero!C53+marzo!C53</f>
        <v>#REF!</v>
      </c>
      <c r="G50" s="170" t="e">
        <f>+Ene!F53+Feb!F53+Mar!F53+#REF!+#REF!+#REF!+Jul!F53+Ago!F53+Sep!F53+enero!F53+febrero!F53+marzo!F53</f>
        <v>#REF!</v>
      </c>
      <c r="H50" s="409"/>
      <c r="I50" s="168" t="e">
        <f>+Ene!H53+Feb!H53+Mar!H53+#REF!+#REF!+#REF!+Jul!H53+Ago!H53+Sep!H53+enero!H53+febrero!H53+marzo!H53</f>
        <v>#REF!</v>
      </c>
      <c r="J50" s="171" t="e">
        <f>+Ene!I53+Feb!I53+Mar!I53+#REF!+#REF!+#REF!+Jul!I53+Ago!I53+Sep!I53+enero!I53+febrero!I53+marzo!I53</f>
        <v>#REF!</v>
      </c>
      <c r="K50" s="410"/>
      <c r="L50" s="172">
        <f t="shared" si="30"/>
        <v>0</v>
      </c>
      <c r="M50" s="173" t="e">
        <f t="shared" si="9"/>
        <v>#REF!</v>
      </c>
    </row>
    <row r="51" spans="2:13" s="7" customFormat="1" ht="15.75" thickBot="1">
      <c r="B51" s="415"/>
      <c r="C51" s="419" t="s">
        <v>33</v>
      </c>
      <c r="D51" s="420"/>
      <c r="E51" s="174">
        <f>SUM(E40:E50)</f>
        <v>123.60000000000001</v>
      </c>
      <c r="F51" s="175" t="e">
        <f t="shared" ref="F51:L51" si="33">SUM(F40:F50)</f>
        <v>#REF!</v>
      </c>
      <c r="G51" s="176" t="e">
        <f t="shared" si="33"/>
        <v>#REF!</v>
      </c>
      <c r="H51" s="177" t="e">
        <f t="shared" si="33"/>
        <v>#REF!</v>
      </c>
      <c r="I51" s="176" t="e">
        <f t="shared" si="33"/>
        <v>#REF!</v>
      </c>
      <c r="J51" s="177" t="e">
        <f t="shared" si="33"/>
        <v>#REF!</v>
      </c>
      <c r="K51" s="176" t="e">
        <f t="shared" si="33"/>
        <v>#REF!</v>
      </c>
      <c r="L51" s="178">
        <f t="shared" si="33"/>
        <v>0</v>
      </c>
      <c r="M51" s="179" t="e">
        <f t="shared" si="9"/>
        <v>#REF!</v>
      </c>
    </row>
    <row r="52" spans="2:13" s="7" customFormat="1" ht="15.75" thickBot="1">
      <c r="B52" s="415"/>
      <c r="C52" s="419" t="s">
        <v>46</v>
      </c>
      <c r="D52" s="420"/>
      <c r="E52" s="174">
        <f>+E38+E51</f>
        <v>336.89000000000004</v>
      </c>
      <c r="F52" s="175" t="e">
        <f t="shared" ref="F52:L52" si="34">+F38+F51</f>
        <v>#REF!</v>
      </c>
      <c r="G52" s="176" t="e">
        <f t="shared" si="34"/>
        <v>#REF!</v>
      </c>
      <c r="H52" s="177" t="e">
        <f t="shared" si="34"/>
        <v>#REF!</v>
      </c>
      <c r="I52" s="176" t="e">
        <f t="shared" si="34"/>
        <v>#REF!</v>
      </c>
      <c r="J52" s="177" t="e">
        <f t="shared" si="34"/>
        <v>#REF!</v>
      </c>
      <c r="K52" s="176" t="e">
        <f t="shared" si="34"/>
        <v>#REF!</v>
      </c>
      <c r="L52" s="178">
        <f t="shared" si="34"/>
        <v>0</v>
      </c>
      <c r="M52" s="179" t="e">
        <f t="shared" si="9"/>
        <v>#REF!</v>
      </c>
    </row>
    <row r="53" spans="2:13" s="7" customFormat="1" ht="15.75" thickBot="1">
      <c r="B53" s="413" t="s">
        <v>70</v>
      </c>
      <c r="C53" s="413"/>
      <c r="D53" s="413"/>
      <c r="E53" s="181">
        <f>+E27+E52</f>
        <v>613.80999999999995</v>
      </c>
      <c r="F53" s="182" t="e">
        <f t="shared" ref="F53:L53" si="35">+F27+F52</f>
        <v>#REF!</v>
      </c>
      <c r="G53" s="183" t="e">
        <f t="shared" si="35"/>
        <v>#REF!</v>
      </c>
      <c r="H53" s="183" t="e">
        <f t="shared" si="35"/>
        <v>#REF!</v>
      </c>
      <c r="I53" s="183" t="e">
        <f t="shared" si="35"/>
        <v>#REF!</v>
      </c>
      <c r="J53" s="183" t="e">
        <f t="shared" si="35"/>
        <v>#REF!</v>
      </c>
      <c r="K53" s="183" t="e">
        <f t="shared" si="35"/>
        <v>#REF!</v>
      </c>
      <c r="L53" s="184">
        <f t="shared" si="35"/>
        <v>0</v>
      </c>
      <c r="M53" s="184" t="e">
        <f>(G53/$G$53)*100</f>
        <v>#REF!</v>
      </c>
    </row>
    <row r="54" spans="2:13">
      <c r="E54" s="8"/>
      <c r="F54" s="8" t="e">
        <f>+F53-#REF!</f>
        <v>#REF!</v>
      </c>
      <c r="G54" s="8" t="e">
        <f>+(#REF!*10^6)-'Año 2018 por zona'!G53</f>
        <v>#REF!</v>
      </c>
      <c r="H54" s="8" t="e">
        <f>+H53-G53</f>
        <v>#REF!</v>
      </c>
      <c r="I54" s="8" t="e">
        <f>+Ene!H55+Feb!H55+Mar!H55+#REF!+#REF!+#REF!+Jul!H55+Ago!H55+Sep!H55+enero!H55+febrero!H55+marzo!H55-I53</f>
        <v>#REF!</v>
      </c>
      <c r="J54" s="8" t="e">
        <f>+Ene!I55+Feb!I55+Mar!I55+#REF!+#REF!+#REF!+Jul!I55+Ago!I55+Sep!I55+enero!I55+febrero!I55+marzo!I55-J53</f>
        <v>#REF!</v>
      </c>
      <c r="K54" s="8" t="e">
        <f>+J53-K53</f>
        <v>#REF!</v>
      </c>
      <c r="L54" s="8"/>
      <c r="M54" s="8"/>
    </row>
    <row r="55" spans="2:13">
      <c r="G55" s="8" t="e">
        <f>+G53/10^6</f>
        <v>#REF!</v>
      </c>
      <c r="J55" s="8" t="e">
        <f>+J53/10^6</f>
        <v>#REF!</v>
      </c>
    </row>
    <row r="56" spans="2:13" ht="15.75" thickBot="1"/>
    <row r="57" spans="2:13">
      <c r="I57" s="9" t="s">
        <v>71</v>
      </c>
    </row>
    <row r="58" spans="2:13" ht="15.75" thickBot="1">
      <c r="I58" s="10" t="e">
        <f>+I53/G53</f>
        <v>#REF!</v>
      </c>
      <c r="K58" s="189"/>
    </row>
  </sheetData>
  <mergeCells count="53">
    <mergeCell ref="C51:D51"/>
    <mergeCell ref="C52:D52"/>
    <mergeCell ref="B53:D53"/>
    <mergeCell ref="C47:C48"/>
    <mergeCell ref="H47:H48"/>
    <mergeCell ref="K47:K48"/>
    <mergeCell ref="C49:C50"/>
    <mergeCell ref="H49:H50"/>
    <mergeCell ref="K49:K50"/>
    <mergeCell ref="C43:C44"/>
    <mergeCell ref="H43:H44"/>
    <mergeCell ref="K43:K44"/>
    <mergeCell ref="C45:C46"/>
    <mergeCell ref="H45:H46"/>
    <mergeCell ref="K45:K46"/>
    <mergeCell ref="C39:M39"/>
    <mergeCell ref="C24:C25"/>
    <mergeCell ref="H24:H25"/>
    <mergeCell ref="K24:K25"/>
    <mergeCell ref="B28:B52"/>
    <mergeCell ref="C28:M28"/>
    <mergeCell ref="C29:C30"/>
    <mergeCell ref="H29:H30"/>
    <mergeCell ref="K29:K30"/>
    <mergeCell ref="C31:C32"/>
    <mergeCell ref="H31:H32"/>
    <mergeCell ref="K31:K32"/>
    <mergeCell ref="C33:C34"/>
    <mergeCell ref="H33:H34"/>
    <mergeCell ref="K33:K34"/>
    <mergeCell ref="C38:D38"/>
    <mergeCell ref="H18:H19"/>
    <mergeCell ref="K18:K19"/>
    <mergeCell ref="H21:H22"/>
    <mergeCell ref="K21:K22"/>
    <mergeCell ref="C18:C19"/>
    <mergeCell ref="C21:C22"/>
    <mergeCell ref="C14:M14"/>
    <mergeCell ref="B2:B27"/>
    <mergeCell ref="C2:M2"/>
    <mergeCell ref="C3:C4"/>
    <mergeCell ref="H3:H4"/>
    <mergeCell ref="K3:K4"/>
    <mergeCell ref="C6:C7"/>
    <mergeCell ref="H6:H7"/>
    <mergeCell ref="K6:K7"/>
    <mergeCell ref="C8:C9"/>
    <mergeCell ref="H8:H9"/>
    <mergeCell ref="K8:K9"/>
    <mergeCell ref="C10:C11"/>
    <mergeCell ref="H10:H11"/>
    <mergeCell ref="K10:K11"/>
    <mergeCell ref="C13:D1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R64"/>
  <sheetViews>
    <sheetView tabSelected="1" workbookViewId="0">
      <selection activeCell="N17" sqref="N17"/>
    </sheetView>
  </sheetViews>
  <sheetFormatPr baseColWidth="10" defaultColWidth="9.140625" defaultRowHeight="15"/>
  <cols>
    <col min="1" max="1" width="9.140625" style="520"/>
    <col min="2" max="2" width="4.140625" style="520" customWidth="1"/>
    <col min="3" max="3" width="4" style="520" bestFit="1" customWidth="1"/>
    <col min="4" max="4" width="7.85546875" style="520" bestFit="1" customWidth="1"/>
    <col min="5" max="5" width="6.140625" style="520" customWidth="1"/>
    <col min="6" max="6" width="10.85546875" style="520" bestFit="1" customWidth="1"/>
    <col min="7" max="7" width="16.140625" style="520" bestFit="1" customWidth="1"/>
    <col min="8" max="8" width="14" style="520" bestFit="1" customWidth="1"/>
    <col min="9" max="9" width="12" style="520" bestFit="1" customWidth="1"/>
    <col min="10" max="11" width="14" style="520" bestFit="1" customWidth="1"/>
    <col min="12" max="12" width="8.5703125" style="520" bestFit="1" customWidth="1"/>
    <col min="13" max="13" width="10.7109375" style="520" customWidth="1"/>
    <col min="14" max="14" width="10.28515625" style="520" customWidth="1"/>
    <col min="15" max="15" width="9.140625" style="520"/>
    <col min="16" max="16" width="14.140625" style="520" bestFit="1" customWidth="1"/>
    <col min="17" max="17" width="12" style="520" bestFit="1" customWidth="1"/>
    <col min="18" max="16384" width="9.140625" style="520"/>
  </cols>
  <sheetData>
    <row r="4" spans="1:18">
      <c r="A4" s="520" t="s">
        <v>190</v>
      </c>
    </row>
    <row r="6" spans="1:18" ht="33.75">
      <c r="B6" s="521" t="s">
        <v>0</v>
      </c>
      <c r="C6" s="522" t="s">
        <v>1</v>
      </c>
      <c r="D6" s="522" t="s">
        <v>2</v>
      </c>
      <c r="E6" s="523" t="s">
        <v>3</v>
      </c>
      <c r="F6" s="523" t="s">
        <v>4</v>
      </c>
      <c r="G6" s="523" t="s">
        <v>5</v>
      </c>
      <c r="H6" s="523" t="s">
        <v>6</v>
      </c>
      <c r="I6" s="523" t="s">
        <v>7</v>
      </c>
      <c r="J6" s="523" t="s">
        <v>8</v>
      </c>
      <c r="K6" s="523" t="s">
        <v>9</v>
      </c>
      <c r="L6" s="523" t="s">
        <v>10</v>
      </c>
      <c r="M6" s="523" t="s">
        <v>11</v>
      </c>
      <c r="N6" s="524" t="s">
        <v>185</v>
      </c>
    </row>
    <row r="7" spans="1:18" ht="15" customHeight="1">
      <c r="B7" s="525" t="s">
        <v>12</v>
      </c>
      <c r="C7" s="526" t="s">
        <v>13</v>
      </c>
      <c r="D7" s="526"/>
      <c r="E7" s="526"/>
      <c r="F7" s="526"/>
      <c r="G7" s="526"/>
      <c r="H7" s="526"/>
      <c r="I7" s="526"/>
      <c r="J7" s="526"/>
      <c r="K7" s="526"/>
      <c r="L7" s="526"/>
      <c r="M7" s="526"/>
    </row>
    <row r="8" spans="1:18" ht="15.75" customHeight="1">
      <c r="B8" s="525"/>
      <c r="C8" s="527">
        <v>1</v>
      </c>
      <c r="D8" s="528" t="s">
        <v>14</v>
      </c>
      <c r="E8" s="529">
        <v>48</v>
      </c>
      <c r="F8" s="530">
        <f>enero!C6+febrero!C6+marzo!C6</f>
        <v>418.46000000000004</v>
      </c>
      <c r="G8" s="531">
        <f>+enero!F6+febrero!F6+marzo!F6</f>
        <v>18968399</v>
      </c>
      <c r="H8" s="532">
        <f>+G8+G9</f>
        <v>36894654</v>
      </c>
      <c r="I8" s="531">
        <f>+enero!H6+febrero!H6+marzo!H6</f>
        <v>95168</v>
      </c>
      <c r="J8" s="533">
        <f>+enero!I6+febrero!I6+marzo!I6</f>
        <v>18873231</v>
      </c>
      <c r="K8" s="534">
        <f>+J8+J9</f>
        <v>36799486</v>
      </c>
      <c r="L8" s="535">
        <f t="shared" ref="L8:L17" si="0">IFERROR(+G8/F8/1000,0)</f>
        <v>45.329061320078374</v>
      </c>
      <c r="M8" s="536">
        <f t="shared" ref="M8:M18" si="1">(G8/$G$59)*100</f>
        <v>5.85644816175214</v>
      </c>
      <c r="N8" s="537">
        <f>L8/E8</f>
        <v>0.94435544416829942</v>
      </c>
      <c r="P8" s="538" t="s">
        <v>0</v>
      </c>
      <c r="Q8" s="538" t="s">
        <v>15</v>
      </c>
      <c r="R8" s="538" t="s">
        <v>16</v>
      </c>
    </row>
    <row r="9" spans="1:18">
      <c r="B9" s="525"/>
      <c r="C9" s="527"/>
      <c r="D9" s="528" t="s">
        <v>17</v>
      </c>
      <c r="E9" s="529">
        <v>48</v>
      </c>
      <c r="F9" s="530">
        <f>enero!C7+febrero!C7+marzo!C7</f>
        <v>409.02</v>
      </c>
      <c r="G9" s="531">
        <f>+enero!F7+febrero!F7+marzo!F7</f>
        <v>17926255</v>
      </c>
      <c r="H9" s="532"/>
      <c r="I9" s="529">
        <f>+enero!H7+febrero!H7+marzo!H7</f>
        <v>0</v>
      </c>
      <c r="J9" s="533">
        <f>+enero!I7+febrero!I7+marzo!I7</f>
        <v>17926255</v>
      </c>
      <c r="K9" s="534"/>
      <c r="L9" s="535">
        <f t="shared" si="0"/>
        <v>43.827331181849303</v>
      </c>
      <c r="M9" s="536">
        <f t="shared" si="1"/>
        <v>5.5346886757206084</v>
      </c>
      <c r="N9" s="537">
        <f t="shared" ref="N9:N59" si="2">L9/E9</f>
        <v>0.91306939962186051</v>
      </c>
      <c r="P9" s="539" t="s">
        <v>18</v>
      </c>
      <c r="Q9" s="540">
        <f>+G33/10^6</f>
        <v>162.630483</v>
      </c>
      <c r="R9" s="540">
        <f>+M33</f>
        <v>50.211775554184236</v>
      </c>
    </row>
    <row r="10" spans="1:18">
      <c r="B10" s="525"/>
      <c r="C10" s="529">
        <v>2</v>
      </c>
      <c r="D10" s="528" t="s">
        <v>19</v>
      </c>
      <c r="E10" s="529">
        <v>18</v>
      </c>
      <c r="F10" s="530">
        <f>enero!C8+febrero!C8+marzo!C8</f>
        <v>1615.15</v>
      </c>
      <c r="G10" s="531">
        <f>+enero!F8+febrero!F8+marzo!F8</f>
        <v>9577200</v>
      </c>
      <c r="H10" s="533">
        <f>+G10</f>
        <v>9577200</v>
      </c>
      <c r="I10" s="531">
        <f>+enero!H8+febrero!H8+marzo!H8</f>
        <v>60434</v>
      </c>
      <c r="J10" s="533">
        <f>+enero!I8+febrero!I8+marzo!I8</f>
        <v>9516766</v>
      </c>
      <c r="K10" s="531">
        <f>+J10</f>
        <v>9516766</v>
      </c>
      <c r="L10" s="535">
        <f t="shared" si="0"/>
        <v>5.929604061542272</v>
      </c>
      <c r="M10" s="536">
        <f t="shared" si="1"/>
        <v>2.9569377644751462</v>
      </c>
      <c r="N10" s="537">
        <f t="shared" si="2"/>
        <v>0.32942244786345953</v>
      </c>
      <c r="P10" s="539" t="s">
        <v>20</v>
      </c>
      <c r="Q10" s="536">
        <f>+G58/10^6</f>
        <v>161.258647</v>
      </c>
      <c r="R10" s="536">
        <f>+M58</f>
        <v>49.788224445815764</v>
      </c>
    </row>
    <row r="11" spans="1:18">
      <c r="B11" s="525"/>
      <c r="C11" s="527">
        <v>3</v>
      </c>
      <c r="D11" s="528" t="s">
        <v>21</v>
      </c>
      <c r="E11" s="529">
        <v>26</v>
      </c>
      <c r="F11" s="530">
        <f>enero!C9+febrero!C9+marzo!C9</f>
        <v>781.57999999999993</v>
      </c>
      <c r="G11" s="531">
        <f>+enero!F9+febrero!F9+marzo!F9</f>
        <v>17044013</v>
      </c>
      <c r="H11" s="532">
        <f>+G11+G12</f>
        <v>33832644</v>
      </c>
      <c r="I11" s="531">
        <f>+enero!H9+febrero!H9+marzo!H9</f>
        <v>160701</v>
      </c>
      <c r="J11" s="533">
        <f>+enero!I9+febrero!I9+marzo!I9</f>
        <v>16883312</v>
      </c>
      <c r="K11" s="534">
        <f>+J11+J12</f>
        <v>33671943</v>
      </c>
      <c r="L11" s="535">
        <f t="shared" si="0"/>
        <v>21.807125310268944</v>
      </c>
      <c r="M11" s="536">
        <f t="shared" si="1"/>
        <v>5.2622985525942161</v>
      </c>
      <c r="N11" s="537">
        <f t="shared" si="2"/>
        <v>0.83873558885649779</v>
      </c>
    </row>
    <row r="12" spans="1:18">
      <c r="B12" s="525"/>
      <c r="C12" s="527"/>
      <c r="D12" s="528" t="s">
        <v>22</v>
      </c>
      <c r="E12" s="529">
        <v>26</v>
      </c>
      <c r="F12" s="530">
        <f>enero!C10+febrero!C10+marzo!C10</f>
        <v>776.80000000000007</v>
      </c>
      <c r="G12" s="531">
        <f>+enero!F10+febrero!F10+marzo!F10</f>
        <v>16788631</v>
      </c>
      <c r="H12" s="532"/>
      <c r="I12" s="529">
        <f>+enero!H10+febrero!H10+marzo!H10</f>
        <v>0</v>
      </c>
      <c r="J12" s="533">
        <f>+enero!I10+febrero!I10+marzo!I10</f>
        <v>16788631</v>
      </c>
      <c r="K12" s="534"/>
      <c r="L12" s="535">
        <f t="shared" si="0"/>
        <v>21.612552780638513</v>
      </c>
      <c r="M12" s="536">
        <f t="shared" si="1"/>
        <v>5.18344996635114</v>
      </c>
      <c r="N12" s="537">
        <f t="shared" si="2"/>
        <v>0.83125203002455816</v>
      </c>
      <c r="P12" s="538" t="s">
        <v>23</v>
      </c>
      <c r="Q12" s="538" t="s">
        <v>15</v>
      </c>
      <c r="R12" s="538" t="s">
        <v>16</v>
      </c>
    </row>
    <row r="13" spans="1:18">
      <c r="B13" s="525"/>
      <c r="C13" s="527">
        <v>4</v>
      </c>
      <c r="D13" s="528" t="s">
        <v>24</v>
      </c>
      <c r="E13" s="529">
        <v>1.6</v>
      </c>
      <c r="F13" s="530">
        <f>enero!C11+febrero!C11+marzo!C11</f>
        <v>2127.8000000000002</v>
      </c>
      <c r="G13" s="531">
        <f>+enero!F11+febrero!F11+marzo!F11</f>
        <v>1619744</v>
      </c>
      <c r="H13" s="532">
        <f t="shared" ref="H13" si="3">+G13+G14</f>
        <v>3239622</v>
      </c>
      <c r="I13" s="531">
        <f>+enero!H11+febrero!H11+marzo!H11</f>
        <v>31820</v>
      </c>
      <c r="J13" s="533">
        <f>+enero!I11+febrero!I11+marzo!I11</f>
        <v>1587924</v>
      </c>
      <c r="K13" s="534">
        <f t="shared" ref="K13" si="4">+J13+J14</f>
        <v>3207802</v>
      </c>
      <c r="L13" s="535">
        <f t="shared" si="0"/>
        <v>0.76122943885703531</v>
      </c>
      <c r="M13" s="536">
        <f t="shared" si="1"/>
        <v>0.50009211485424043</v>
      </c>
      <c r="N13" s="537">
        <f t="shared" si="2"/>
        <v>0.47576839928564707</v>
      </c>
      <c r="P13" s="539" t="s">
        <v>25</v>
      </c>
      <c r="Q13" s="540">
        <f>+G18/10^6</f>
        <v>84.485162000000003</v>
      </c>
      <c r="R13" s="540">
        <f>+M18</f>
        <v>26.084593206323408</v>
      </c>
    </row>
    <row r="14" spans="1:18">
      <c r="B14" s="525"/>
      <c r="C14" s="527"/>
      <c r="D14" s="528" t="s">
        <v>26</v>
      </c>
      <c r="E14" s="529">
        <v>1.6</v>
      </c>
      <c r="F14" s="530">
        <f>enero!C12+febrero!C12+marzo!C12</f>
        <v>2127.84</v>
      </c>
      <c r="G14" s="531">
        <f>+enero!F12+febrero!F12+marzo!F12</f>
        <v>1619878</v>
      </c>
      <c r="H14" s="532"/>
      <c r="I14" s="529">
        <f>+enero!H12+febrero!H12+marzo!H12</f>
        <v>0</v>
      </c>
      <c r="J14" s="533">
        <f>+enero!I12+febrero!I12+marzo!I12</f>
        <v>1619878</v>
      </c>
      <c r="K14" s="534"/>
      <c r="L14" s="535">
        <f t="shared" si="0"/>
        <v>0.76127810361681325</v>
      </c>
      <c r="M14" s="536">
        <f t="shared" si="1"/>
        <v>0.50013348703613492</v>
      </c>
      <c r="N14" s="537">
        <f t="shared" si="2"/>
        <v>0.47579881476050828</v>
      </c>
      <c r="P14" s="539" t="s">
        <v>27</v>
      </c>
      <c r="Q14" s="536">
        <f>+G32/10^6</f>
        <v>78.145320999999996</v>
      </c>
      <c r="R14" s="536">
        <f>+M32</f>
        <v>24.127182347860828</v>
      </c>
    </row>
    <row r="15" spans="1:18">
      <c r="B15" s="525"/>
      <c r="C15" s="527">
        <v>5</v>
      </c>
      <c r="D15" s="528" t="s">
        <v>28</v>
      </c>
      <c r="E15" s="529">
        <v>0.6</v>
      </c>
      <c r="F15" s="530">
        <f>enero!C13+febrero!C13+marzo!C13</f>
        <v>726.67000000000007</v>
      </c>
      <c r="G15" s="531">
        <f>+enero!F13+febrero!F13+marzo!F13</f>
        <v>81941</v>
      </c>
      <c r="H15" s="532">
        <f t="shared" ref="H15" si="5">+G15+G16</f>
        <v>164419</v>
      </c>
      <c r="I15" s="531">
        <f>+enero!H13+febrero!H13+marzo!H13</f>
        <v>7533</v>
      </c>
      <c r="J15" s="533">
        <f>+enero!I13+febrero!I13+marzo!I13</f>
        <v>74408</v>
      </c>
      <c r="K15" s="534">
        <f t="shared" ref="K15" si="6">+J15+J16</f>
        <v>156886</v>
      </c>
      <c r="L15" s="535">
        <f t="shared" si="0"/>
        <v>0.11276232677831752</v>
      </c>
      <c r="M15" s="536">
        <f t="shared" si="1"/>
        <v>2.5299089228465309E-2</v>
      </c>
      <c r="N15" s="537">
        <f t="shared" si="2"/>
        <v>0.18793721129719587</v>
      </c>
      <c r="P15" s="539" t="s">
        <v>29</v>
      </c>
      <c r="Q15" s="540">
        <f>+G44/10^6</f>
        <v>104.177916</v>
      </c>
      <c r="R15" s="540">
        <f>+M44</f>
        <v>32.164684254763351</v>
      </c>
    </row>
    <row r="16" spans="1:18">
      <c r="B16" s="525"/>
      <c r="C16" s="527"/>
      <c r="D16" s="528" t="s">
        <v>30</v>
      </c>
      <c r="E16" s="529">
        <v>0.6</v>
      </c>
      <c r="F16" s="530">
        <f>enero!C14+febrero!C14+marzo!C14</f>
        <v>712.41</v>
      </c>
      <c r="G16" s="531">
        <f>+enero!F14+febrero!F14+marzo!F14</f>
        <v>82478</v>
      </c>
      <c r="H16" s="532"/>
      <c r="I16" s="529">
        <f>+enero!H14+febrero!H14+marzo!H14</f>
        <v>0</v>
      </c>
      <c r="J16" s="533">
        <f>+enero!I14+febrero!I14+marzo!I14</f>
        <v>82478</v>
      </c>
      <c r="K16" s="534"/>
      <c r="L16" s="535">
        <f t="shared" si="0"/>
        <v>0.11577322047697254</v>
      </c>
      <c r="M16" s="536">
        <f t="shared" si="1"/>
        <v>2.5464886703669243E-2</v>
      </c>
      <c r="N16" s="537">
        <f t="shared" si="2"/>
        <v>0.1929553674616209</v>
      </c>
      <c r="P16" s="539" t="s">
        <v>31</v>
      </c>
      <c r="Q16" s="536">
        <f>+G57/10^6</f>
        <v>57.080731</v>
      </c>
      <c r="R16" s="536">
        <f>+M57</f>
        <v>17.623540191052413</v>
      </c>
    </row>
    <row r="17" spans="2:18">
      <c r="B17" s="525"/>
      <c r="C17" s="529">
        <v>6</v>
      </c>
      <c r="D17" s="528" t="s">
        <v>32</v>
      </c>
      <c r="E17" s="529">
        <v>2.8</v>
      </c>
      <c r="F17" s="530">
        <f>enero!C15+febrero!C15+marzo!C15</f>
        <v>927.87999999999988</v>
      </c>
      <c r="G17" s="531">
        <f>+enero!F15+febrero!F15+marzo!F15</f>
        <v>776623</v>
      </c>
      <c r="H17" s="533">
        <f>+G17</f>
        <v>776623</v>
      </c>
      <c r="I17" s="531">
        <f>+enero!H15+febrero!H15+marzo!H15</f>
        <v>36482</v>
      </c>
      <c r="J17" s="533">
        <f>+enero!I15+febrero!I15+marzo!I15</f>
        <v>740141</v>
      </c>
      <c r="K17" s="531">
        <f>+J17</f>
        <v>740141</v>
      </c>
      <c r="L17" s="535">
        <f t="shared" si="0"/>
        <v>0.83698646376686658</v>
      </c>
      <c r="M17" s="536">
        <f t="shared" si="1"/>
        <v>0.23978050760764957</v>
      </c>
      <c r="N17" s="537">
        <f t="shared" si="2"/>
        <v>0.29892373705959524</v>
      </c>
    </row>
    <row r="18" spans="2:18" s="548" customFormat="1">
      <c r="B18" s="525"/>
      <c r="C18" s="541" t="s">
        <v>33</v>
      </c>
      <c r="D18" s="541"/>
      <c r="E18" s="542">
        <f>SUM(E8:E17)</f>
        <v>173.2</v>
      </c>
      <c r="F18" s="543">
        <f t="shared" ref="F18:K18" si="7">SUM(F8:F17)</f>
        <v>10623.61</v>
      </c>
      <c r="G18" s="544">
        <f t="shared" si="7"/>
        <v>84485162</v>
      </c>
      <c r="H18" s="545">
        <f t="shared" si="7"/>
        <v>84485162</v>
      </c>
      <c r="I18" s="544">
        <f t="shared" si="7"/>
        <v>392138</v>
      </c>
      <c r="J18" s="545">
        <f t="shared" si="7"/>
        <v>84093024</v>
      </c>
      <c r="K18" s="544">
        <f t="shared" si="7"/>
        <v>84093024</v>
      </c>
      <c r="L18" s="546">
        <f>SUM(L8:L17)</f>
        <v>141.09370420787343</v>
      </c>
      <c r="M18" s="547">
        <f t="shared" si="1"/>
        <v>26.084593206323408</v>
      </c>
      <c r="N18" s="537">
        <f t="shared" si="2"/>
        <v>0.81462877718171733</v>
      </c>
      <c r="P18" s="548" t="s">
        <v>25</v>
      </c>
      <c r="Q18" s="549">
        <f>+H18/10^6</f>
        <v>84.485162000000003</v>
      </c>
      <c r="R18" s="549">
        <f>+M18</f>
        <v>26.084593206323408</v>
      </c>
    </row>
    <row r="19" spans="2:18">
      <c r="B19" s="525"/>
      <c r="C19" s="526" t="s">
        <v>34</v>
      </c>
      <c r="D19" s="526"/>
      <c r="E19" s="526"/>
      <c r="F19" s="526"/>
      <c r="G19" s="526"/>
      <c r="H19" s="526"/>
      <c r="I19" s="526"/>
      <c r="J19" s="526"/>
      <c r="K19" s="526"/>
      <c r="L19" s="526"/>
      <c r="M19" s="526"/>
      <c r="N19" s="537"/>
      <c r="P19" s="520" t="s">
        <v>98</v>
      </c>
      <c r="Q19" s="550">
        <f>+K8/10^6</f>
        <v>36.799486000000002</v>
      </c>
      <c r="R19" s="550">
        <f>+M8+M9</f>
        <v>11.391136837472748</v>
      </c>
    </row>
    <row r="20" spans="2:18">
      <c r="B20" s="525"/>
      <c r="C20" s="529">
        <v>7</v>
      </c>
      <c r="D20" s="528" t="s">
        <v>35</v>
      </c>
      <c r="E20" s="529">
        <v>10.1</v>
      </c>
      <c r="F20" s="530">
        <f>+enero!C18+febrero!C18+marzo!C18</f>
        <v>450.46999999999997</v>
      </c>
      <c r="G20" s="531">
        <f>+enero!F18+febrero!F18+marzo!F18</f>
        <v>3800000</v>
      </c>
      <c r="H20" s="533">
        <f t="shared" ref="H20" si="8">+G20</f>
        <v>3800000</v>
      </c>
      <c r="I20" s="531">
        <f>+enero!H18+febrero!H18+marzo!H18</f>
        <v>31808</v>
      </c>
      <c r="J20" s="533">
        <f>+enero!I18+febrero!I18+marzo!I18</f>
        <v>3768192</v>
      </c>
      <c r="K20" s="531">
        <f>+J20</f>
        <v>3768192</v>
      </c>
      <c r="L20" s="535">
        <f t="shared" ref="L20:L31" si="9">IFERROR(+G20/F20/1000,0)</f>
        <v>8.4356338934890225</v>
      </c>
      <c r="M20" s="536">
        <f t="shared" ref="M20:M33" si="10">(G20/$G$59)*100</f>
        <v>1.1732409790967668</v>
      </c>
      <c r="N20" s="537">
        <f t="shared" si="2"/>
        <v>0.83521127658307159</v>
      </c>
      <c r="P20" s="520" t="s">
        <v>94</v>
      </c>
      <c r="Q20" s="550">
        <f>+K11/10^6</f>
        <v>33.671942999999999</v>
      </c>
      <c r="R20" s="550">
        <f>+M11+M12</f>
        <v>10.445748518945356</v>
      </c>
    </row>
    <row r="21" spans="2:18">
      <c r="B21" s="525"/>
      <c r="C21" s="529">
        <v>8</v>
      </c>
      <c r="D21" s="528" t="s">
        <v>184</v>
      </c>
      <c r="E21" s="529">
        <v>8</v>
      </c>
      <c r="F21" s="530">
        <f>+enero!C19+febrero!C19+marzo!C19</f>
        <v>2136.5699999999997</v>
      </c>
      <c r="G21" s="531">
        <f>+enero!F19+febrero!F19+marzo!F19</f>
        <v>13401300</v>
      </c>
      <c r="H21" s="532">
        <f>+G21+G22</f>
        <v>16748869</v>
      </c>
      <c r="I21" s="531">
        <f>+enero!H19+febrero!H19+marzo!H19</f>
        <v>52350</v>
      </c>
      <c r="J21" s="533">
        <f>+enero!I19+febrero!I19+marzo!I19</f>
        <v>13348950</v>
      </c>
      <c r="K21" s="534">
        <f>+J21+J22</f>
        <v>16696519</v>
      </c>
      <c r="L21" s="535">
        <f t="shared" si="9"/>
        <v>6.2723430545219676</v>
      </c>
      <c r="M21" s="536">
        <f t="shared" si="10"/>
        <v>4.1376195613603954</v>
      </c>
      <c r="N21" s="537">
        <f t="shared" si="2"/>
        <v>0.78404288181524595</v>
      </c>
      <c r="P21" s="548" t="s">
        <v>27</v>
      </c>
      <c r="Q21" s="549">
        <f>+H32/10^6</f>
        <v>78.145320999999996</v>
      </c>
      <c r="R21" s="549">
        <f>+M32</f>
        <v>24.127182347860828</v>
      </c>
    </row>
    <row r="22" spans="2:18">
      <c r="B22" s="525"/>
      <c r="C22" s="529"/>
      <c r="D22" s="528" t="s">
        <v>180</v>
      </c>
      <c r="E22" s="529">
        <v>10.76</v>
      </c>
      <c r="F22" s="530">
        <f>+enero!C20+febrero!C20+marzo!C20</f>
        <v>668.38</v>
      </c>
      <c r="G22" s="531">
        <f>+enero!F20+febrero!F20+marzo!F20</f>
        <v>3347569</v>
      </c>
      <c r="H22" s="532"/>
      <c r="I22" s="531">
        <f>+enero!H20+febrero!H20+marzo!H20</f>
        <v>0</v>
      </c>
      <c r="J22" s="533">
        <f>+enero!I20+febrero!I20+marzo!I20</f>
        <v>3347569</v>
      </c>
      <c r="K22" s="534"/>
      <c r="L22" s="535">
        <f t="shared" ref="L22" si="11">IFERROR(+G22/F22/1000,0)</f>
        <v>5.0084817020257937</v>
      </c>
      <c r="M22" s="536">
        <f t="shared" si="10"/>
        <v>1.0335539818826276</v>
      </c>
      <c r="N22" s="537">
        <f t="shared" si="2"/>
        <v>0.46547227713994366</v>
      </c>
      <c r="P22" s="548"/>
      <c r="Q22" s="549"/>
      <c r="R22" s="549"/>
    </row>
    <row r="23" spans="2:18">
      <c r="B23" s="525"/>
      <c r="C23" s="529">
        <v>9</v>
      </c>
      <c r="D23" s="528" t="s">
        <v>37</v>
      </c>
      <c r="E23" s="529">
        <v>8.4</v>
      </c>
      <c r="F23" s="530">
        <f>+enero!C21+febrero!C21+marzo!C21</f>
        <v>2083.09</v>
      </c>
      <c r="G23" s="531">
        <f>+enero!F21+febrero!F21+marzo!F21</f>
        <v>10796024</v>
      </c>
      <c r="H23" s="533">
        <f>+G23</f>
        <v>10796024</v>
      </c>
      <c r="I23" s="531">
        <f>+enero!H21+febrero!H21+marzo!H21</f>
        <v>16522</v>
      </c>
      <c r="J23" s="533">
        <f>+enero!I21+febrero!I21+marzo!I21</f>
        <v>10779502</v>
      </c>
      <c r="K23" s="531">
        <f>+J23</f>
        <v>10779502</v>
      </c>
      <c r="L23" s="535">
        <f t="shared" si="9"/>
        <v>5.1826968589931299</v>
      </c>
      <c r="M23" s="536">
        <f t="shared" si="10"/>
        <v>3.3332467810821562</v>
      </c>
      <c r="N23" s="537">
        <f t="shared" si="2"/>
        <v>0.61698772130870594</v>
      </c>
      <c r="P23" s="520" t="s">
        <v>93</v>
      </c>
      <c r="Q23" s="550">
        <f>+K30/10^6</f>
        <v>18.809868999999999</v>
      </c>
      <c r="R23" s="550">
        <f>+M30+M31</f>
        <v>5.8484210322217356</v>
      </c>
    </row>
    <row r="24" spans="2:18">
      <c r="B24" s="525"/>
      <c r="C24" s="527">
        <f>+C23+1</f>
        <v>10</v>
      </c>
      <c r="D24" s="528" t="s">
        <v>38</v>
      </c>
      <c r="E24" s="529">
        <v>12.5</v>
      </c>
      <c r="F24" s="530">
        <f>+enero!C22+febrero!C22+marzo!C22</f>
        <v>1862.42</v>
      </c>
      <c r="G24" s="531">
        <f>+enero!F22+febrero!F22+marzo!F22</f>
        <v>21127000</v>
      </c>
      <c r="H24" s="532">
        <f t="shared" ref="H24" si="12">+G24+G25</f>
        <v>27425500</v>
      </c>
      <c r="I24" s="531">
        <f>+enero!H22+febrero!H22+marzo!H22</f>
        <v>152540</v>
      </c>
      <c r="J24" s="533">
        <f>+enero!I22+febrero!I22+marzo!I22</f>
        <v>20974460</v>
      </c>
      <c r="K24" s="534">
        <f t="shared" ref="K24" si="13">+J24+J25</f>
        <v>27272960</v>
      </c>
      <c r="L24" s="535">
        <f t="shared" si="9"/>
        <v>11.343842957012917</v>
      </c>
      <c r="M24" s="536">
        <f t="shared" si="10"/>
        <v>6.5229110961519456</v>
      </c>
      <c r="N24" s="537">
        <f t="shared" si="2"/>
        <v>0.90750743656103339</v>
      </c>
      <c r="P24" s="520" t="s">
        <v>92</v>
      </c>
      <c r="Q24" s="550">
        <f>+K24/10^6</f>
        <v>27.272960000000001</v>
      </c>
      <c r="R24" s="520">
        <v>7.63</v>
      </c>
    </row>
    <row r="25" spans="2:18">
      <c r="B25" s="525"/>
      <c r="C25" s="527"/>
      <c r="D25" s="528" t="s">
        <v>39</v>
      </c>
      <c r="E25" s="529">
        <v>12.5</v>
      </c>
      <c r="F25" s="530">
        <f>+enero!C23+febrero!C23+marzo!C23</f>
        <v>760.42000000000007</v>
      </c>
      <c r="G25" s="531">
        <f>+enero!F23+febrero!F23+marzo!F23</f>
        <v>6298500</v>
      </c>
      <c r="H25" s="532"/>
      <c r="I25" s="531">
        <f>+enero!H23+febrero!H23+marzo!H23</f>
        <v>0</v>
      </c>
      <c r="J25" s="533">
        <f>+enero!I23+febrero!I23+marzo!I23</f>
        <v>6298500</v>
      </c>
      <c r="K25" s="534"/>
      <c r="L25" s="535">
        <f t="shared" si="9"/>
        <v>8.2829225954078005</v>
      </c>
      <c r="M25" s="536">
        <f t="shared" si="10"/>
        <v>1.9446469228528911</v>
      </c>
      <c r="N25" s="537">
        <f t="shared" si="2"/>
        <v>0.66263380763262403</v>
      </c>
      <c r="P25" s="548" t="s">
        <v>29</v>
      </c>
      <c r="Q25" s="549">
        <f>+H44/10^6</f>
        <v>104.177916</v>
      </c>
      <c r="R25" s="549">
        <f>+M44</f>
        <v>32.164684254763351</v>
      </c>
    </row>
    <row r="26" spans="2:18">
      <c r="B26" s="525"/>
      <c r="C26" s="529">
        <v>11</v>
      </c>
      <c r="D26" s="528" t="s">
        <v>40</v>
      </c>
      <c r="E26" s="529">
        <v>0.62</v>
      </c>
      <c r="F26" s="530">
        <f>+enero!C24+febrero!C24+marzo!C24</f>
        <v>168.23</v>
      </c>
      <c r="G26" s="531">
        <f>+enero!F24+febrero!F24+marzo!F24</f>
        <v>70306</v>
      </c>
      <c r="H26" s="533">
        <f>+G26</f>
        <v>70306</v>
      </c>
      <c r="I26" s="531">
        <f>+enero!H24+febrero!H24+marzo!H24</f>
        <v>4354</v>
      </c>
      <c r="J26" s="533">
        <f>+enero!I24+febrero!I24+marzo!I24</f>
        <v>68327</v>
      </c>
      <c r="K26" s="531">
        <f>+J26</f>
        <v>68327</v>
      </c>
      <c r="L26" s="535">
        <f t="shared" si="9"/>
        <v>0.41791594840397078</v>
      </c>
      <c r="M26" s="536">
        <f t="shared" si="10"/>
        <v>2.1706810599046653E-2</v>
      </c>
      <c r="N26" s="537">
        <f t="shared" si="2"/>
        <v>0.67405798129672712</v>
      </c>
      <c r="P26" s="520" t="s">
        <v>99</v>
      </c>
      <c r="Q26" s="550">
        <f>+K37/10^6</f>
        <v>42.241093999999997</v>
      </c>
      <c r="R26" s="550">
        <f>+M37+M38</f>
        <v>13.202801526559412</v>
      </c>
    </row>
    <row r="27" spans="2:18">
      <c r="B27" s="525"/>
      <c r="C27" s="527">
        <v>12</v>
      </c>
      <c r="D27" s="528" t="s">
        <v>41</v>
      </c>
      <c r="E27" s="529">
        <v>0.35</v>
      </c>
      <c r="F27" s="530">
        <f>+enero!C25+febrero!C25+marzo!C25</f>
        <v>1780.81</v>
      </c>
      <c r="G27" s="529">
        <f>+enero!F25+febrero!F25+marzo!F25</f>
        <v>312383</v>
      </c>
      <c r="H27" s="532">
        <f t="shared" ref="H27" si="14">+G27+G28</f>
        <v>362222</v>
      </c>
      <c r="I27" s="531">
        <f>+enero!H25+febrero!H25+marzo!H25</f>
        <v>7969</v>
      </c>
      <c r="J27" s="551">
        <f>+enero!I25+febrero!I25+marzo!I25</f>
        <v>312383</v>
      </c>
      <c r="K27" s="534">
        <f t="shared" ref="K27" si="15">+J27+J28</f>
        <v>354253</v>
      </c>
      <c r="L27" s="535">
        <f t="shared" si="9"/>
        <v>0.17541624317024276</v>
      </c>
      <c r="M27" s="536">
        <f t="shared" si="10"/>
        <v>9.6447509677154028E-2</v>
      </c>
      <c r="N27" s="537">
        <f t="shared" si="2"/>
        <v>0.5011892662006936</v>
      </c>
      <c r="P27" s="520" t="s">
        <v>96</v>
      </c>
      <c r="Q27" s="550">
        <f>+K39/10^6</f>
        <v>49.207998000000003</v>
      </c>
      <c r="R27" s="550">
        <f>+M39+M40</f>
        <v>15.270062320399575</v>
      </c>
    </row>
    <row r="28" spans="2:18">
      <c r="B28" s="525"/>
      <c r="C28" s="527"/>
      <c r="D28" s="528" t="s">
        <v>42</v>
      </c>
      <c r="E28" s="529">
        <v>0.35</v>
      </c>
      <c r="F28" s="530">
        <f>+enero!C26+febrero!C26+marzo!C26</f>
        <v>140.16999999999999</v>
      </c>
      <c r="G28" s="531">
        <f>+enero!F26+febrero!F26+marzo!F26</f>
        <v>49839</v>
      </c>
      <c r="H28" s="532"/>
      <c r="I28" s="529">
        <f>+enero!H26+febrero!H26+marzo!H26</f>
        <v>0</v>
      </c>
      <c r="J28" s="533">
        <f>+enero!I26+febrero!I26+marzo!I26</f>
        <v>41870</v>
      </c>
      <c r="K28" s="534"/>
      <c r="L28" s="535">
        <f t="shared" si="9"/>
        <v>0.35556110437326105</v>
      </c>
      <c r="M28" s="536">
        <f t="shared" si="10"/>
        <v>1.5387672936106255E-2</v>
      </c>
      <c r="N28" s="537">
        <f t="shared" si="2"/>
        <v>1.0158888696378887</v>
      </c>
      <c r="P28" s="548" t="s">
        <v>31</v>
      </c>
      <c r="Q28" s="549">
        <f>+H57/10^6</f>
        <v>57.080731</v>
      </c>
      <c r="R28" s="549">
        <f>+M57</f>
        <v>17.623540191052413</v>
      </c>
    </row>
    <row r="29" spans="2:18">
      <c r="B29" s="525"/>
      <c r="C29" s="529">
        <v>13</v>
      </c>
      <c r="D29" s="528" t="s">
        <v>43</v>
      </c>
      <c r="E29" s="529">
        <v>0.9</v>
      </c>
      <c r="F29" s="530">
        <f>+enero!C27+febrero!C27+marzo!C27</f>
        <v>0</v>
      </c>
      <c r="G29" s="531">
        <f>+enero!F27+febrero!F27+marzo!F27</f>
        <v>0</v>
      </c>
      <c r="H29" s="533">
        <f>+G29</f>
        <v>0</v>
      </c>
      <c r="I29" s="531">
        <f>+enero!H27+febrero!H27+marzo!H27</f>
        <v>5303</v>
      </c>
      <c r="J29" s="533">
        <f>+enero!I27+febrero!I27+marzo!I27</f>
        <v>0</v>
      </c>
      <c r="K29" s="531">
        <f>+J29</f>
        <v>0</v>
      </c>
      <c r="L29" s="535">
        <f t="shared" si="9"/>
        <v>0</v>
      </c>
      <c r="M29" s="536">
        <f t="shared" si="10"/>
        <v>0</v>
      </c>
      <c r="N29" s="537">
        <f t="shared" si="2"/>
        <v>0</v>
      </c>
      <c r="P29" s="520" t="s">
        <v>97</v>
      </c>
      <c r="Q29" s="550">
        <f>+K55/10^6</f>
        <v>18.557213999999998</v>
      </c>
      <c r="R29" s="550">
        <f>+M56+M55</f>
        <v>5.8108791733763958</v>
      </c>
    </row>
    <row r="30" spans="2:18">
      <c r="B30" s="525"/>
      <c r="C30" s="527">
        <v>14</v>
      </c>
      <c r="D30" s="528" t="s">
        <v>44</v>
      </c>
      <c r="E30" s="529">
        <v>25</v>
      </c>
      <c r="F30" s="530">
        <f>+enero!C28+febrero!C28+marzo!C28</f>
        <v>524.29999999999995</v>
      </c>
      <c r="G30" s="531">
        <f>+enero!F28+febrero!F28+marzo!F28</f>
        <v>13725900</v>
      </c>
      <c r="H30" s="532">
        <f t="shared" ref="H30" si="16">+G30+G31</f>
        <v>18942400</v>
      </c>
      <c r="I30" s="531">
        <f>+enero!H28+febrero!H28+marzo!H28</f>
        <v>132531</v>
      </c>
      <c r="J30" s="533">
        <f>+enero!I28+febrero!I28+marzo!I28</f>
        <v>13593369</v>
      </c>
      <c r="K30" s="534">
        <f t="shared" ref="K30" si="17">+J30+J31</f>
        <v>18809869</v>
      </c>
      <c r="L30" s="535">
        <f t="shared" si="9"/>
        <v>26.17947739843601</v>
      </c>
      <c r="M30" s="536">
        <f t="shared" si="10"/>
        <v>4.237839040785345</v>
      </c>
      <c r="N30" s="537">
        <f t="shared" si="2"/>
        <v>1.0471790959374403</v>
      </c>
      <c r="P30" s="520" t="s">
        <v>59</v>
      </c>
      <c r="Q30" s="550">
        <f>+K46/10^6</f>
        <v>14.885351</v>
      </c>
      <c r="R30" s="550">
        <f>+M46</f>
        <v>4.6061928660588265</v>
      </c>
    </row>
    <row r="31" spans="2:18">
      <c r="B31" s="525"/>
      <c r="C31" s="527">
        <f t="shared" ref="C31" si="18">+C30+1</f>
        <v>15</v>
      </c>
      <c r="D31" s="528" t="s">
        <v>45</v>
      </c>
      <c r="E31" s="529">
        <v>25</v>
      </c>
      <c r="F31" s="530">
        <f>+enero!C29+febrero!C29+marzo!C29</f>
        <v>179.44</v>
      </c>
      <c r="G31" s="531">
        <f>+enero!F29+febrero!F29+marzo!F29</f>
        <v>5216500</v>
      </c>
      <c r="H31" s="532"/>
      <c r="I31" s="529">
        <f>+enero!H29+febrero!H29+marzo!H29</f>
        <v>0</v>
      </c>
      <c r="J31" s="533">
        <f>+enero!I29+febrero!I29+marzo!I29</f>
        <v>5216500</v>
      </c>
      <c r="K31" s="534"/>
      <c r="L31" s="535">
        <f t="shared" si="9"/>
        <v>29.070998662505573</v>
      </c>
      <c r="M31" s="536">
        <f t="shared" si="10"/>
        <v>1.6105819914363904</v>
      </c>
      <c r="N31" s="537">
        <f t="shared" si="2"/>
        <v>1.162839946500223</v>
      </c>
    </row>
    <row r="32" spans="2:18" s="548" customFormat="1">
      <c r="B32" s="525"/>
      <c r="C32" s="552" t="s">
        <v>33</v>
      </c>
      <c r="D32" s="552"/>
      <c r="E32" s="542">
        <f t="shared" ref="E32:L32" si="19">SUM(E20:E31)</f>
        <v>114.48</v>
      </c>
      <c r="F32" s="543">
        <f t="shared" si="19"/>
        <v>10754.3</v>
      </c>
      <c r="G32" s="544">
        <f t="shared" si="19"/>
        <v>78145321</v>
      </c>
      <c r="H32" s="545">
        <f t="shared" si="19"/>
        <v>78145321</v>
      </c>
      <c r="I32" s="544">
        <f t="shared" si="19"/>
        <v>403377</v>
      </c>
      <c r="J32" s="545">
        <f t="shared" si="19"/>
        <v>77749622</v>
      </c>
      <c r="K32" s="544">
        <f t="shared" si="19"/>
        <v>77749622</v>
      </c>
      <c r="L32" s="546">
        <f t="shared" si="19"/>
        <v>100.72529041833968</v>
      </c>
      <c r="M32" s="547">
        <f t="shared" si="10"/>
        <v>24.127182347860828</v>
      </c>
      <c r="N32" s="537">
        <f t="shared" si="2"/>
        <v>0.87985054523357509</v>
      </c>
    </row>
    <row r="33" spans="2:14" s="548" customFormat="1">
      <c r="B33" s="525"/>
      <c r="C33" s="552" t="s">
        <v>46</v>
      </c>
      <c r="D33" s="552"/>
      <c r="E33" s="542">
        <f t="shared" ref="E33:L33" si="20">+E18+E32</f>
        <v>287.68</v>
      </c>
      <c r="F33" s="543">
        <f t="shared" si="20"/>
        <v>21377.91</v>
      </c>
      <c r="G33" s="544">
        <f t="shared" si="20"/>
        <v>162630483</v>
      </c>
      <c r="H33" s="545">
        <f t="shared" si="20"/>
        <v>162630483</v>
      </c>
      <c r="I33" s="544">
        <f t="shared" si="20"/>
        <v>795515</v>
      </c>
      <c r="J33" s="545">
        <f t="shared" si="20"/>
        <v>161842646</v>
      </c>
      <c r="K33" s="544">
        <f t="shared" si="20"/>
        <v>161842646</v>
      </c>
      <c r="L33" s="546">
        <f t="shared" si="20"/>
        <v>241.81899462621311</v>
      </c>
      <c r="M33" s="547">
        <f t="shared" si="10"/>
        <v>50.211775554184236</v>
      </c>
      <c r="N33" s="537">
        <f t="shared" si="2"/>
        <v>0.84058326830580199</v>
      </c>
    </row>
    <row r="34" spans="2:14" ht="15.75" customHeight="1">
      <c r="B34" s="525" t="s">
        <v>47</v>
      </c>
      <c r="C34" s="526" t="s">
        <v>48</v>
      </c>
      <c r="D34" s="526"/>
      <c r="E34" s="526"/>
      <c r="F34" s="526"/>
      <c r="G34" s="526"/>
      <c r="H34" s="526"/>
      <c r="I34" s="526"/>
      <c r="J34" s="526"/>
      <c r="K34" s="526"/>
      <c r="L34" s="526"/>
      <c r="M34" s="526"/>
      <c r="N34" s="537"/>
    </row>
    <row r="35" spans="2:14">
      <c r="B35" s="525"/>
      <c r="C35" s="527">
        <v>15</v>
      </c>
      <c r="D35" s="528" t="s">
        <v>49</v>
      </c>
      <c r="E35" s="529">
        <v>27</v>
      </c>
      <c r="F35" s="530">
        <f>+enero!C32+febrero!C32+marzo!C32</f>
        <v>260.70999999999998</v>
      </c>
      <c r="G35" s="531">
        <f>+enero!F32+febrero!F32+marzo!F32</f>
        <v>5779447</v>
      </c>
      <c r="H35" s="532">
        <f t="shared" ref="H35" si="21">+G35+G36</f>
        <v>11143447</v>
      </c>
      <c r="I35" s="531">
        <f>+enero!H32+febrero!H32+marzo!H32</f>
        <v>41552</v>
      </c>
      <c r="J35" s="533">
        <f>+enero!I32+febrero!I32+marzo!I32</f>
        <v>5737895</v>
      </c>
      <c r="K35" s="534">
        <f t="shared" ref="K35" si="22">+J35+J36</f>
        <v>11101895</v>
      </c>
      <c r="L35" s="535">
        <f t="shared" ref="L35:L41" si="23">IFERROR(+G35/F35/1000,0)</f>
        <v>22.168106325035481</v>
      </c>
      <c r="M35" s="536">
        <f t="shared" ref="M35:M44" si="24">(G35/$G$59)*100</f>
        <v>1.7843905412941767</v>
      </c>
      <c r="N35" s="537">
        <f t="shared" si="2"/>
        <v>0.82104097500131412</v>
      </c>
    </row>
    <row r="36" spans="2:14">
      <c r="B36" s="525"/>
      <c r="C36" s="527"/>
      <c r="D36" s="528" t="s">
        <v>50</v>
      </c>
      <c r="E36" s="529">
        <v>27</v>
      </c>
      <c r="F36" s="530">
        <f>+enero!C33+febrero!C33+marzo!C33</f>
        <v>240.04000000000002</v>
      </c>
      <c r="G36" s="531">
        <f>+enero!F33+febrero!F33+marzo!F33</f>
        <v>5364000</v>
      </c>
      <c r="H36" s="532"/>
      <c r="I36" s="529">
        <f>+enero!H33+febrero!H33+marzo!H33</f>
        <v>0</v>
      </c>
      <c r="J36" s="533">
        <f>+enero!I33+febrero!I33+marzo!I33</f>
        <v>5364000</v>
      </c>
      <c r="K36" s="534"/>
      <c r="L36" s="535">
        <f t="shared" si="23"/>
        <v>22.346275620729877</v>
      </c>
      <c r="M36" s="536">
        <f t="shared" si="24"/>
        <v>1.6561222662829098</v>
      </c>
      <c r="N36" s="537">
        <f t="shared" si="2"/>
        <v>0.82763983780481021</v>
      </c>
    </row>
    <row r="37" spans="2:14">
      <c r="B37" s="525"/>
      <c r="C37" s="527">
        <v>16</v>
      </c>
      <c r="D37" s="528" t="s">
        <v>51</v>
      </c>
      <c r="E37" s="529">
        <v>49</v>
      </c>
      <c r="F37" s="530">
        <f>+enero!C34+febrero!C34+marzo!C34</f>
        <v>504.82000000000005</v>
      </c>
      <c r="G37" s="531">
        <f>+enero!F34+febrero!F34+marzo!F34</f>
        <v>21868234</v>
      </c>
      <c r="H37" s="532">
        <f t="shared" ref="H37" si="25">+G37+G38</f>
        <v>42762439</v>
      </c>
      <c r="I37" s="529">
        <f>+enero!H34+febrero!H34+marzo!H34</f>
        <v>0</v>
      </c>
      <c r="J37" s="533">
        <f>+enero!I34+febrero!I34+marzo!I34</f>
        <v>21868234</v>
      </c>
      <c r="K37" s="534">
        <f t="shared" ref="K37" si="26">+J37+J38</f>
        <v>42241094</v>
      </c>
      <c r="L37" s="535">
        <f t="shared" si="23"/>
        <v>43.31887405411829</v>
      </c>
      <c r="M37" s="536">
        <f t="shared" si="24"/>
        <v>6.751765334020317</v>
      </c>
      <c r="N37" s="537">
        <f t="shared" si="2"/>
        <v>0.88405865416567941</v>
      </c>
    </row>
    <row r="38" spans="2:14">
      <c r="B38" s="525"/>
      <c r="C38" s="527"/>
      <c r="D38" s="528" t="s">
        <v>52</v>
      </c>
      <c r="E38" s="529">
        <v>49</v>
      </c>
      <c r="F38" s="530">
        <f>+enero!C35+febrero!C35+marzo!C35</f>
        <v>492.05</v>
      </c>
      <c r="G38" s="531">
        <f>+enero!F35+febrero!F35+marzo!F35</f>
        <v>20894205</v>
      </c>
      <c r="H38" s="532"/>
      <c r="I38" s="531">
        <f>+enero!H35+febrero!H35+marzo!H35</f>
        <v>521345</v>
      </c>
      <c r="J38" s="533">
        <f>+enero!I35+febrero!I35+marzo!I35</f>
        <v>20372860</v>
      </c>
      <c r="K38" s="534"/>
      <c r="L38" s="535">
        <f t="shared" si="23"/>
        <v>42.463580936896662</v>
      </c>
      <c r="M38" s="536">
        <f t="shared" si="24"/>
        <v>6.4510361925390942</v>
      </c>
      <c r="N38" s="537">
        <f t="shared" si="2"/>
        <v>0.8666036925897278</v>
      </c>
    </row>
    <row r="39" spans="2:14">
      <c r="B39" s="525"/>
      <c r="C39" s="527">
        <v>17</v>
      </c>
      <c r="D39" s="528" t="s">
        <v>53</v>
      </c>
      <c r="E39" s="529">
        <v>30</v>
      </c>
      <c r="F39" s="530">
        <f>+enero!C36+febrero!C36+marzo!C36</f>
        <v>806.61</v>
      </c>
      <c r="G39" s="531">
        <f>+enero!F36+febrero!F36+marzo!F36</f>
        <v>21239552</v>
      </c>
      <c r="H39" s="532">
        <f t="shared" ref="H39" si="27">+G39+G40</f>
        <v>49458072</v>
      </c>
      <c r="I39" s="531">
        <f>+enero!H36+febrero!H36+marzo!H36</f>
        <v>250074</v>
      </c>
      <c r="J39" s="533">
        <f>+enero!I36+febrero!I36+marzo!I36</f>
        <v>20989478</v>
      </c>
      <c r="K39" s="534">
        <f t="shared" ref="K39" si="28">+J39+J40</f>
        <v>49207998</v>
      </c>
      <c r="L39" s="535">
        <f t="shared" si="23"/>
        <v>26.331872900162409</v>
      </c>
      <c r="M39" s="536">
        <f t="shared" si="24"/>
        <v>6.5576612589622867</v>
      </c>
      <c r="N39" s="537">
        <f t="shared" si="2"/>
        <v>0.87772909667208032</v>
      </c>
    </row>
    <row r="40" spans="2:14">
      <c r="B40" s="525"/>
      <c r="C40" s="527"/>
      <c r="D40" s="528" t="s">
        <v>54</v>
      </c>
      <c r="E40" s="529">
        <v>30</v>
      </c>
      <c r="F40" s="530">
        <f>+enero!C37+febrero!C37+marzo!C37</f>
        <v>1095.8499999999999</v>
      </c>
      <c r="G40" s="531">
        <f>+enero!F37+febrero!F37+marzo!F37</f>
        <v>28218520</v>
      </c>
      <c r="H40" s="532"/>
      <c r="I40" s="529">
        <f>+enero!H37+febrero!H37+marzo!H37</f>
        <v>0</v>
      </c>
      <c r="J40" s="533">
        <f>+enero!I37+febrero!I37+marzo!I37</f>
        <v>28218520</v>
      </c>
      <c r="K40" s="534"/>
      <c r="L40" s="535">
        <f t="shared" si="23"/>
        <v>25.750349044121005</v>
      </c>
      <c r="M40" s="536">
        <f t="shared" si="24"/>
        <v>8.7124010614372889</v>
      </c>
      <c r="N40" s="537">
        <f t="shared" si="2"/>
        <v>0.85834496813736683</v>
      </c>
    </row>
    <row r="41" spans="2:14">
      <c r="B41" s="525"/>
      <c r="C41" s="529">
        <v>18</v>
      </c>
      <c r="D41" s="528" t="s">
        <v>55</v>
      </c>
      <c r="E41" s="529">
        <v>0.33</v>
      </c>
      <c r="F41" s="530">
        <f>+enero!C38+febrero!C38+marzo!C38</f>
        <v>8.4499999999999993</v>
      </c>
      <c r="G41" s="531">
        <f>+enero!F38+febrero!F38+marzo!F38</f>
        <v>793</v>
      </c>
      <c r="H41" s="533">
        <f t="shared" ref="H41:H43" si="29">+G41</f>
        <v>793</v>
      </c>
      <c r="I41" s="531">
        <f>+enero!H38+febrero!H38+marzo!H38</f>
        <v>610</v>
      </c>
      <c r="J41" s="533">
        <f>+enero!I38+febrero!I38+marzo!I38</f>
        <v>579</v>
      </c>
      <c r="K41" s="531">
        <f t="shared" ref="K41:K43" si="30">+J41</f>
        <v>579</v>
      </c>
      <c r="L41" s="535">
        <f t="shared" si="23"/>
        <v>9.3846153846153857E-2</v>
      </c>
      <c r="M41" s="536">
        <f t="shared" si="24"/>
        <v>2.4483686747993057E-4</v>
      </c>
      <c r="N41" s="537">
        <f t="shared" si="2"/>
        <v>0.28438228438228441</v>
      </c>
    </row>
    <row r="42" spans="2:14">
      <c r="B42" s="525"/>
      <c r="C42" s="529">
        <v>19</v>
      </c>
      <c r="D42" s="528" t="s">
        <v>56</v>
      </c>
      <c r="E42" s="529">
        <v>0.11</v>
      </c>
      <c r="F42" s="530">
        <f>+enero!C39+febrero!C39+marzo!C39</f>
        <v>0</v>
      </c>
      <c r="G42" s="529">
        <f>+enero!F39+febrero!F39+marzo!F39</f>
        <v>0</v>
      </c>
      <c r="H42" s="551">
        <f t="shared" si="29"/>
        <v>0</v>
      </c>
      <c r="I42" s="529">
        <f>+enero!H39+febrero!H39+marzo!H39</f>
        <v>1660</v>
      </c>
      <c r="J42" s="551">
        <f>+enero!I39+febrero!I39+marzo!I39</f>
        <v>0</v>
      </c>
      <c r="K42" s="529">
        <f t="shared" si="30"/>
        <v>0</v>
      </c>
      <c r="L42" s="535">
        <f>IFERROR(+G42/F42/1000,0)</f>
        <v>0</v>
      </c>
      <c r="M42" s="536">
        <f t="shared" si="24"/>
        <v>0</v>
      </c>
      <c r="N42" s="537">
        <f t="shared" si="2"/>
        <v>0</v>
      </c>
    </row>
    <row r="43" spans="2:14">
      <c r="B43" s="525"/>
      <c r="C43" s="529">
        <v>20</v>
      </c>
      <c r="D43" s="528" t="s">
        <v>57</v>
      </c>
      <c r="E43" s="529">
        <v>0.85</v>
      </c>
      <c r="F43" s="530">
        <f>+enero!C40+febrero!C40+marzo!C40</f>
        <v>1820.13</v>
      </c>
      <c r="G43" s="531">
        <f>+enero!F40+febrero!F40+marzo!F40</f>
        <v>813165</v>
      </c>
      <c r="H43" s="533">
        <f t="shared" si="29"/>
        <v>813165</v>
      </c>
      <c r="I43" s="531">
        <f>+enero!H40+febrero!H40+marzo!H40</f>
        <v>20317</v>
      </c>
      <c r="J43" s="533">
        <f>+enero!I40+febrero!I40+marzo!I40</f>
        <v>792848</v>
      </c>
      <c r="K43" s="531">
        <f t="shared" si="30"/>
        <v>792848</v>
      </c>
      <c r="L43" s="535">
        <f t="shared" ref="L43" si="31">IFERROR(+G43/F43/1000,0)</f>
        <v>0.44676204446935103</v>
      </c>
      <c r="M43" s="536">
        <f t="shared" si="24"/>
        <v>0.25106276335979538</v>
      </c>
      <c r="N43" s="537">
        <f t="shared" si="2"/>
        <v>0.52560240525806001</v>
      </c>
    </row>
    <row r="44" spans="2:14" s="548" customFormat="1">
      <c r="B44" s="525"/>
      <c r="C44" s="541" t="s">
        <v>33</v>
      </c>
      <c r="D44" s="541"/>
      <c r="E44" s="542">
        <f>SUM(E35:E43)</f>
        <v>213.29000000000002</v>
      </c>
      <c r="F44" s="543">
        <f>SUM(F35:F43)</f>
        <v>5228.66</v>
      </c>
      <c r="G44" s="544">
        <f t="shared" ref="G44:L44" si="32">SUM(G35:G43)</f>
        <v>104177916</v>
      </c>
      <c r="H44" s="545">
        <f t="shared" si="32"/>
        <v>104177916</v>
      </c>
      <c r="I44" s="544">
        <f t="shared" si="32"/>
        <v>835558</v>
      </c>
      <c r="J44" s="545">
        <f t="shared" si="32"/>
        <v>103344414</v>
      </c>
      <c r="K44" s="544">
        <f t="shared" si="32"/>
        <v>103344414</v>
      </c>
      <c r="L44" s="546">
        <f t="shared" si="32"/>
        <v>182.91966707937925</v>
      </c>
      <c r="M44" s="547">
        <f t="shared" si="24"/>
        <v>32.164684254763351</v>
      </c>
      <c r="N44" s="537">
        <f t="shared" si="2"/>
        <v>0.85761014149458126</v>
      </c>
    </row>
    <row r="45" spans="2:14">
      <c r="B45" s="525"/>
      <c r="C45" s="526" t="s">
        <v>58</v>
      </c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37"/>
    </row>
    <row r="46" spans="2:14">
      <c r="B46" s="525"/>
      <c r="C46" s="529">
        <v>21</v>
      </c>
      <c r="D46" s="528" t="s">
        <v>59</v>
      </c>
      <c r="E46" s="529">
        <v>13</v>
      </c>
      <c r="F46" s="530">
        <f>+enero!C43+febrero!C43+marzo!C43</f>
        <v>2136.84</v>
      </c>
      <c r="G46" s="531">
        <f>+enero!F43+febrero!F43+marzo!F43</f>
        <v>14918958</v>
      </c>
      <c r="H46" s="533">
        <f t="shared" ref="H46:H48" si="33">+G46</f>
        <v>14918958</v>
      </c>
      <c r="I46" s="531">
        <f>+enero!H43+febrero!H43+marzo!H43</f>
        <v>33607</v>
      </c>
      <c r="J46" s="533">
        <f>+enero!I43+febrero!I43+marzo!I43</f>
        <v>14885351</v>
      </c>
      <c r="K46" s="531">
        <f t="shared" ref="K46:K48" si="34">+J46</f>
        <v>14885351</v>
      </c>
      <c r="L46" s="535">
        <f t="shared" ref="L46:L56" si="35">IFERROR(+G46/F46/1000,0)</f>
        <v>6.981785252990397</v>
      </c>
      <c r="M46" s="536">
        <f t="shared" ref="M46:M59" si="36">(G46/$G$59)*100</f>
        <v>4.6061928660588265</v>
      </c>
      <c r="N46" s="537">
        <f t="shared" si="2"/>
        <v>0.53706040407618438</v>
      </c>
    </row>
    <row r="47" spans="2:14">
      <c r="B47" s="525"/>
      <c r="C47" s="529">
        <v>22</v>
      </c>
      <c r="D47" s="528" t="s">
        <v>60</v>
      </c>
      <c r="E47" s="529">
        <v>6.3</v>
      </c>
      <c r="F47" s="530">
        <f>+enero!C44+febrero!C44+marzo!C44</f>
        <v>1455.92</v>
      </c>
      <c r="G47" s="531">
        <f>+enero!F44+febrero!F44+marzo!F44</f>
        <v>5388600</v>
      </c>
      <c r="H47" s="533">
        <f t="shared" si="33"/>
        <v>5388600</v>
      </c>
      <c r="I47" s="531">
        <f>+enero!H44+febrero!H44+marzo!H44</f>
        <v>33902</v>
      </c>
      <c r="J47" s="533">
        <f>+enero!I44+febrero!I44+marzo!I44</f>
        <v>5354698</v>
      </c>
      <c r="K47" s="531">
        <f t="shared" si="34"/>
        <v>5354698</v>
      </c>
      <c r="L47" s="535">
        <f t="shared" si="35"/>
        <v>3.7011648991702839</v>
      </c>
      <c r="M47" s="536">
        <f t="shared" si="36"/>
        <v>1.6637174578844309</v>
      </c>
      <c r="N47" s="537">
        <f t="shared" si="2"/>
        <v>0.58748649193179114</v>
      </c>
    </row>
    <row r="48" spans="2:14">
      <c r="B48" s="525"/>
      <c r="C48" s="529">
        <v>23</v>
      </c>
      <c r="D48" s="528" t="s">
        <v>61</v>
      </c>
      <c r="E48" s="529">
        <v>7.5</v>
      </c>
      <c r="F48" s="530">
        <f>+enero!C45+febrero!C45+marzo!C45</f>
        <v>2086.4900000000002</v>
      </c>
      <c r="G48" s="531">
        <f>+enero!F45+febrero!F45+marzo!F45</f>
        <v>4325949</v>
      </c>
      <c r="H48" s="533">
        <f t="shared" si="33"/>
        <v>4325949</v>
      </c>
      <c r="I48" s="531">
        <f>+enero!H45+febrero!H45+marzo!H45</f>
        <v>26353</v>
      </c>
      <c r="J48" s="533">
        <f>+enero!I45+febrero!I45+marzo!I45</f>
        <v>4299596</v>
      </c>
      <c r="K48" s="531">
        <f t="shared" si="34"/>
        <v>4299596</v>
      </c>
      <c r="L48" s="535">
        <f t="shared" si="35"/>
        <v>2.0733140345748122</v>
      </c>
      <c r="M48" s="536">
        <f t="shared" si="36"/>
        <v>1.3356264842849157</v>
      </c>
      <c r="N48" s="537">
        <f t="shared" si="2"/>
        <v>0.2764418712766416</v>
      </c>
    </row>
    <row r="49" spans="2:14">
      <c r="B49" s="525"/>
      <c r="C49" s="527">
        <v>24</v>
      </c>
      <c r="D49" s="528" t="s">
        <v>62</v>
      </c>
      <c r="E49" s="529">
        <v>4.8499999999999996</v>
      </c>
      <c r="F49" s="530">
        <f>+enero!C46+febrero!C46+marzo!C46</f>
        <v>2044.75</v>
      </c>
      <c r="G49" s="531">
        <f>+enero!F46+febrero!F46+marzo!F46</f>
        <v>6160800</v>
      </c>
      <c r="H49" s="532">
        <f t="shared" ref="H49:H55" si="37">+G49+G50</f>
        <v>10170000</v>
      </c>
      <c r="I49" s="531">
        <f>+enero!H46+febrero!H46+marzo!H46</f>
        <v>41446</v>
      </c>
      <c r="J49" s="533">
        <f>+enero!I46+febrero!I46+marzo!I46</f>
        <v>6119354</v>
      </c>
      <c r="K49" s="534">
        <f t="shared" ref="K49:K55" si="38">+J49+J50</f>
        <v>10128554</v>
      </c>
      <c r="L49" s="535">
        <f t="shared" si="35"/>
        <v>3.0129844724293924</v>
      </c>
      <c r="M49" s="536">
        <f t="shared" si="36"/>
        <v>1.9021323747419372</v>
      </c>
      <c r="N49" s="537">
        <f t="shared" si="2"/>
        <v>0.62123391184111187</v>
      </c>
    </row>
    <row r="50" spans="2:14">
      <c r="B50" s="525"/>
      <c r="C50" s="527"/>
      <c r="D50" s="528" t="s">
        <v>63</v>
      </c>
      <c r="E50" s="529">
        <v>4.8499999999999996</v>
      </c>
      <c r="F50" s="530">
        <f>+enero!C47+febrero!C47+marzo!C47</f>
        <v>1762.53</v>
      </c>
      <c r="G50" s="531">
        <f>+enero!F47+febrero!F47+marzo!F47</f>
        <v>4009200</v>
      </c>
      <c r="H50" s="532"/>
      <c r="I50" s="529">
        <f>+enero!H47+febrero!H47+marzo!H47</f>
        <v>0</v>
      </c>
      <c r="J50" s="533">
        <f>+enero!I47+febrero!I47+marzo!I47</f>
        <v>4009200</v>
      </c>
      <c r="K50" s="534"/>
      <c r="L50" s="535">
        <f t="shared" si="35"/>
        <v>2.2746846862181069</v>
      </c>
      <c r="M50" s="536">
        <f t="shared" si="36"/>
        <v>1.2378309824723046</v>
      </c>
      <c r="N50" s="537">
        <f t="shared" si="2"/>
        <v>0.46900715179754787</v>
      </c>
    </row>
    <row r="51" spans="2:14">
      <c r="B51" s="525"/>
      <c r="C51" s="527">
        <v>25</v>
      </c>
      <c r="D51" s="528" t="s">
        <v>64</v>
      </c>
      <c r="E51" s="529">
        <v>1.95</v>
      </c>
      <c r="F51" s="530">
        <f>+enero!C48+febrero!C48+marzo!C48</f>
        <v>1090.76</v>
      </c>
      <c r="G51" s="531">
        <f>+enero!F48+febrero!F48+marzo!F48</f>
        <v>1212873</v>
      </c>
      <c r="H51" s="532">
        <f t="shared" si="37"/>
        <v>2526978</v>
      </c>
      <c r="I51" s="531">
        <f>+enero!H48+febrero!H48+marzo!H48</f>
        <v>46488</v>
      </c>
      <c r="J51" s="533">
        <f>+enero!I48+febrero!I48+marzo!I48</f>
        <v>1166385</v>
      </c>
      <c r="K51" s="534">
        <f t="shared" si="38"/>
        <v>2480490</v>
      </c>
      <c r="L51" s="535">
        <f t="shared" si="35"/>
        <v>1.111952216802963</v>
      </c>
      <c r="M51" s="536">
        <f t="shared" si="36"/>
        <v>0.37447165948421918</v>
      </c>
      <c r="N51" s="537">
        <f t="shared" si="2"/>
        <v>0.5702319060528015</v>
      </c>
    </row>
    <row r="52" spans="2:14">
      <c r="B52" s="525"/>
      <c r="C52" s="527"/>
      <c r="D52" s="528" t="s">
        <v>65</v>
      </c>
      <c r="E52" s="529">
        <v>1.95</v>
      </c>
      <c r="F52" s="530">
        <f>+enero!C49+febrero!C49+marzo!C49</f>
        <v>1197.8200000000002</v>
      </c>
      <c r="G52" s="531">
        <f>+enero!F49+febrero!F49+marzo!F49</f>
        <v>1314105</v>
      </c>
      <c r="H52" s="532"/>
      <c r="I52" s="529">
        <f>+enero!H49+febrero!H49+marzo!H49</f>
        <v>0</v>
      </c>
      <c r="J52" s="533">
        <f>+enero!I49+febrero!I49+marzo!I49</f>
        <v>1314105</v>
      </c>
      <c r="K52" s="534"/>
      <c r="L52" s="535">
        <f t="shared" si="35"/>
        <v>1.0970805296288255</v>
      </c>
      <c r="M52" s="536">
        <f t="shared" si="36"/>
        <v>0.40572679916735704</v>
      </c>
      <c r="N52" s="537">
        <f t="shared" si="2"/>
        <v>0.56260539980965407</v>
      </c>
    </row>
    <row r="53" spans="2:14">
      <c r="B53" s="525"/>
      <c r="C53" s="527">
        <v>26</v>
      </c>
      <c r="D53" s="528" t="s">
        <v>66</v>
      </c>
      <c r="E53" s="529">
        <v>1.6</v>
      </c>
      <c r="F53" s="530">
        <f>+enero!C50+febrero!C50+marzo!C50</f>
        <v>486.78999999999996</v>
      </c>
      <c r="G53" s="531">
        <f>+enero!F50+febrero!F50+marzo!F50</f>
        <v>481849</v>
      </c>
      <c r="H53" s="532">
        <f t="shared" si="37"/>
        <v>929440</v>
      </c>
      <c r="I53" s="531">
        <f>+enero!H50+febrero!H50+marzo!H50</f>
        <v>18232</v>
      </c>
      <c r="J53" s="533">
        <f>+enero!I50+febrero!I50+marzo!I50</f>
        <v>463617</v>
      </c>
      <c r="K53" s="534">
        <f t="shared" si="38"/>
        <v>911208</v>
      </c>
      <c r="L53" s="535">
        <f t="shared" si="35"/>
        <v>0.9898498325766758</v>
      </c>
      <c r="M53" s="536">
        <f t="shared" si="36"/>
        <v>0.14876973487810474</v>
      </c>
      <c r="N53" s="537">
        <f t="shared" si="2"/>
        <v>0.61865614536042235</v>
      </c>
    </row>
    <row r="54" spans="2:14">
      <c r="B54" s="525"/>
      <c r="C54" s="527"/>
      <c r="D54" s="528" t="s">
        <v>67</v>
      </c>
      <c r="E54" s="529">
        <v>1.6</v>
      </c>
      <c r="F54" s="530">
        <f>+enero!C51+febrero!C51+marzo!C51</f>
        <v>446.88</v>
      </c>
      <c r="G54" s="531">
        <f>+enero!F51+febrero!F51+marzo!F51</f>
        <v>447591</v>
      </c>
      <c r="H54" s="532"/>
      <c r="I54" s="529">
        <f>+enero!H51+febrero!H51+marzo!H51</f>
        <v>0</v>
      </c>
      <c r="J54" s="533">
        <f>+enero!I51+febrero!I51+marzo!I51</f>
        <v>447591</v>
      </c>
      <c r="K54" s="534"/>
      <c r="L54" s="535">
        <f t="shared" si="35"/>
        <v>1.0015910311493017</v>
      </c>
      <c r="M54" s="536">
        <f t="shared" si="36"/>
        <v>0.13819265870392131</v>
      </c>
      <c r="N54" s="537">
        <f t="shared" si="2"/>
        <v>0.62599439446831351</v>
      </c>
    </row>
    <row r="55" spans="2:14">
      <c r="B55" s="525"/>
      <c r="C55" s="527">
        <v>27</v>
      </c>
      <c r="D55" s="528" t="s">
        <v>68</v>
      </c>
      <c r="E55" s="529">
        <v>40</v>
      </c>
      <c r="F55" s="530">
        <f>+enero!C52+febrero!C52+marzo!C52</f>
        <v>286.62</v>
      </c>
      <c r="G55" s="531">
        <f>+enero!F52+febrero!F52+marzo!F52</f>
        <v>9360572</v>
      </c>
      <c r="H55" s="532">
        <f t="shared" si="37"/>
        <v>18820806</v>
      </c>
      <c r="I55" s="531">
        <f>+enero!H52+febrero!H52+marzo!H52</f>
        <v>263592</v>
      </c>
      <c r="J55" s="533">
        <f>+enero!I52+febrero!I52+marzo!I52</f>
        <v>9096980</v>
      </c>
      <c r="K55" s="534">
        <f t="shared" si="38"/>
        <v>18557214</v>
      </c>
      <c r="L55" s="535">
        <f t="shared" si="35"/>
        <v>32.658474635405767</v>
      </c>
      <c r="M55" s="536">
        <f t="shared" si="36"/>
        <v>2.8900543837331005</v>
      </c>
      <c r="N55" s="537">
        <f t="shared" si="2"/>
        <v>0.81646186588514413</v>
      </c>
    </row>
    <row r="56" spans="2:14">
      <c r="B56" s="525"/>
      <c r="C56" s="527"/>
      <c r="D56" s="528" t="s">
        <v>69</v>
      </c>
      <c r="E56" s="529">
        <v>40</v>
      </c>
      <c r="F56" s="530">
        <f>+enero!C53+febrero!C53+marzo!C53</f>
        <v>285.11</v>
      </c>
      <c r="G56" s="531">
        <f>+enero!F53+febrero!F53+marzo!F53</f>
        <v>9460234</v>
      </c>
      <c r="H56" s="532"/>
      <c r="I56" s="529">
        <f>+enero!H53+febrero!H53+marzo!H53</f>
        <v>0</v>
      </c>
      <c r="J56" s="533">
        <f>+enero!I53+febrero!I53+marzo!I53</f>
        <v>9460234</v>
      </c>
      <c r="K56" s="534"/>
      <c r="L56" s="535">
        <f t="shared" si="35"/>
        <v>33.180996808249446</v>
      </c>
      <c r="M56" s="536">
        <f t="shared" si="36"/>
        <v>2.9208247896432957</v>
      </c>
      <c r="N56" s="537">
        <f t="shared" si="2"/>
        <v>0.82952492020623614</v>
      </c>
    </row>
    <row r="57" spans="2:14" s="548" customFormat="1">
      <c r="B57" s="525"/>
      <c r="C57" s="541" t="s">
        <v>33</v>
      </c>
      <c r="D57" s="541"/>
      <c r="E57" s="542">
        <f>SUM(E46:E56)</f>
        <v>123.60000000000001</v>
      </c>
      <c r="F57" s="543">
        <f t="shared" ref="F57:L57" si="39">SUM(F46:F56)</f>
        <v>13280.510000000002</v>
      </c>
      <c r="G57" s="544">
        <f>SUM(G46:G56)</f>
        <v>57080731</v>
      </c>
      <c r="H57" s="545">
        <f t="shared" si="39"/>
        <v>57080731</v>
      </c>
      <c r="I57" s="544">
        <f t="shared" si="39"/>
        <v>463620</v>
      </c>
      <c r="J57" s="545">
        <f t="shared" si="39"/>
        <v>56617111</v>
      </c>
      <c r="K57" s="544">
        <f t="shared" si="39"/>
        <v>56617111</v>
      </c>
      <c r="L57" s="546">
        <f t="shared" si="39"/>
        <v>88.083878399195982</v>
      </c>
      <c r="M57" s="547">
        <f t="shared" si="36"/>
        <v>17.623540191052413</v>
      </c>
      <c r="N57" s="537">
        <f t="shared" si="2"/>
        <v>0.71265273785757266</v>
      </c>
    </row>
    <row r="58" spans="2:14" s="548" customFormat="1">
      <c r="B58" s="525"/>
      <c r="C58" s="541" t="s">
        <v>46</v>
      </c>
      <c r="D58" s="541"/>
      <c r="E58" s="542">
        <f>+E44+E57</f>
        <v>336.89000000000004</v>
      </c>
      <c r="F58" s="543">
        <f t="shared" ref="F58:L58" si="40">+F44+F57</f>
        <v>18509.170000000002</v>
      </c>
      <c r="G58" s="544">
        <f t="shared" si="40"/>
        <v>161258647</v>
      </c>
      <c r="H58" s="545">
        <f t="shared" si="40"/>
        <v>161258647</v>
      </c>
      <c r="I58" s="544">
        <f t="shared" si="40"/>
        <v>1299178</v>
      </c>
      <c r="J58" s="545">
        <f t="shared" si="40"/>
        <v>159961525</v>
      </c>
      <c r="K58" s="544">
        <f t="shared" si="40"/>
        <v>159961525</v>
      </c>
      <c r="L58" s="546">
        <f t="shared" si="40"/>
        <v>271.00354547857523</v>
      </c>
      <c r="M58" s="547">
        <f t="shared" si="36"/>
        <v>49.788224445815764</v>
      </c>
      <c r="N58" s="537">
        <f t="shared" si="2"/>
        <v>0.80442739611913439</v>
      </c>
    </row>
    <row r="59" spans="2:14" s="548" customFormat="1">
      <c r="B59" s="553" t="s">
        <v>70</v>
      </c>
      <c r="C59" s="553"/>
      <c r="D59" s="553"/>
      <c r="E59" s="522">
        <f>+E33+E58</f>
        <v>624.57000000000005</v>
      </c>
      <c r="F59" s="554">
        <f t="shared" ref="F59:L59" si="41">+F33+F58</f>
        <v>39887.08</v>
      </c>
      <c r="G59" s="555">
        <f>+G33+G58</f>
        <v>323889130</v>
      </c>
      <c r="H59" s="555">
        <f t="shared" si="41"/>
        <v>323889130</v>
      </c>
      <c r="I59" s="555">
        <f t="shared" si="41"/>
        <v>2094693</v>
      </c>
      <c r="J59" s="555">
        <f>+J33+J58</f>
        <v>321804171</v>
      </c>
      <c r="K59" s="555">
        <f t="shared" si="41"/>
        <v>321804171</v>
      </c>
      <c r="L59" s="556">
        <f t="shared" si="41"/>
        <v>512.82254010478835</v>
      </c>
      <c r="M59" s="556">
        <f t="shared" si="36"/>
        <v>100</v>
      </c>
      <c r="N59" s="537">
        <f t="shared" si="2"/>
        <v>0.82108096787355833</v>
      </c>
    </row>
    <row r="60" spans="2:14">
      <c r="E60" s="557"/>
      <c r="F60" s="557"/>
      <c r="G60" s="557">
        <f>+enero!F55+febrero!F55+marzo!F55-G59</f>
        <v>0</v>
      </c>
      <c r="H60" s="557">
        <f>+enero!G55+febrero!G55+marzo!G55-H59</f>
        <v>0</v>
      </c>
      <c r="I60" s="557">
        <f>+enero!H55+febrero!H55+marzo!H55-I59</f>
        <v>0</v>
      </c>
      <c r="J60" s="557">
        <f>+enero!I55+febrero!I55+marzo!I55-J59</f>
        <v>0</v>
      </c>
      <c r="K60" s="557">
        <f>+enero!J55+febrero!J55+marzo!J55-K59</f>
        <v>0</v>
      </c>
      <c r="L60" s="557"/>
      <c r="M60" s="557"/>
    </row>
    <row r="62" spans="2:14">
      <c r="G62" s="550">
        <f>+G59/10^6</f>
        <v>323.88913000000002</v>
      </c>
    </row>
    <row r="63" spans="2:14">
      <c r="I63" s="520" t="s">
        <v>71</v>
      </c>
    </row>
    <row r="64" spans="2:14">
      <c r="I64" s="558">
        <f>+I59/G59</f>
        <v>6.4673149111240625E-3</v>
      </c>
      <c r="K64" s="558"/>
    </row>
  </sheetData>
  <mergeCells count="55">
    <mergeCell ref="C19:M19"/>
    <mergeCell ref="B7:B33"/>
    <mergeCell ref="C7:M7"/>
    <mergeCell ref="C8:C9"/>
    <mergeCell ref="H8:H9"/>
    <mergeCell ref="K8:K9"/>
    <mergeCell ref="C11:C12"/>
    <mergeCell ref="H11:H12"/>
    <mergeCell ref="K11:K12"/>
    <mergeCell ref="C13:C14"/>
    <mergeCell ref="H13:H14"/>
    <mergeCell ref="K13:K14"/>
    <mergeCell ref="C15:C16"/>
    <mergeCell ref="H15:H16"/>
    <mergeCell ref="K15:K16"/>
    <mergeCell ref="C18:D18"/>
    <mergeCell ref="C57:D57"/>
    <mergeCell ref="C58:D58"/>
    <mergeCell ref="C24:C25"/>
    <mergeCell ref="H24:H25"/>
    <mergeCell ref="K24:K25"/>
    <mergeCell ref="C27:C28"/>
    <mergeCell ref="H27:H28"/>
    <mergeCell ref="K27:K28"/>
    <mergeCell ref="H39:H40"/>
    <mergeCell ref="K39:K40"/>
    <mergeCell ref="C44:D44"/>
    <mergeCell ref="K51:K52"/>
    <mergeCell ref="C45:M45"/>
    <mergeCell ref="C30:C31"/>
    <mergeCell ref="H30:H31"/>
    <mergeCell ref="K30:K31"/>
    <mergeCell ref="K21:K22"/>
    <mergeCell ref="H21:H22"/>
    <mergeCell ref="B59:D59"/>
    <mergeCell ref="C53:C54"/>
    <mergeCell ref="H53:H54"/>
    <mergeCell ref="K53:K54"/>
    <mergeCell ref="C55:C56"/>
    <mergeCell ref="H55:H56"/>
    <mergeCell ref="K55:K56"/>
    <mergeCell ref="B34:B58"/>
    <mergeCell ref="C34:M34"/>
    <mergeCell ref="C35:C36"/>
    <mergeCell ref="H35:H36"/>
    <mergeCell ref="K35:K36"/>
    <mergeCell ref="C37:C38"/>
    <mergeCell ref="H37:H38"/>
    <mergeCell ref="C51:C52"/>
    <mergeCell ref="H51:H52"/>
    <mergeCell ref="K37:K38"/>
    <mergeCell ref="C39:C40"/>
    <mergeCell ref="C49:C50"/>
    <mergeCell ref="H49:H50"/>
    <mergeCell ref="K49:K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topLeftCell="A8" workbookViewId="0">
      <selection activeCell="B1" sqref="A1:K54"/>
    </sheetView>
  </sheetViews>
  <sheetFormatPr baseColWidth="10" defaultColWidth="9" defaultRowHeight="15"/>
  <cols>
    <col min="4" max="4" width="10.85546875" customWidth="1"/>
    <col min="5" max="5" width="11.140625" bestFit="1" customWidth="1"/>
    <col min="6" max="6" width="13.140625" bestFit="1" customWidth="1"/>
    <col min="7" max="7" width="12.5703125" bestFit="1" customWidth="1"/>
    <col min="10" max="10" width="9.85546875" bestFit="1" customWidth="1"/>
    <col min="13" max="13" width="13.7109375" bestFit="1" customWidth="1"/>
  </cols>
  <sheetData>
    <row r="1" spans="1:13">
      <c r="A1" s="281" t="s">
        <v>1</v>
      </c>
      <c r="B1" s="284" t="s">
        <v>108</v>
      </c>
      <c r="C1" s="71"/>
      <c r="D1" s="287" t="s">
        <v>109</v>
      </c>
      <c r="E1" s="288"/>
      <c r="F1" s="72"/>
      <c r="G1" s="73" t="s">
        <v>110</v>
      </c>
      <c r="H1" s="209" t="s">
        <v>111</v>
      </c>
      <c r="I1" s="209"/>
      <c r="J1" s="74" t="s">
        <v>110</v>
      </c>
      <c r="K1" s="291" t="s">
        <v>112</v>
      </c>
    </row>
    <row r="2" spans="1:13">
      <c r="A2" s="282"/>
      <c r="B2" s="285"/>
      <c r="C2" s="210" t="s">
        <v>113</v>
      </c>
      <c r="D2" s="289"/>
      <c r="E2" s="290"/>
      <c r="F2" s="210" t="s">
        <v>114</v>
      </c>
      <c r="G2" s="75" t="s">
        <v>115</v>
      </c>
      <c r="H2" s="210" t="s">
        <v>116</v>
      </c>
      <c r="I2" s="210" t="s">
        <v>114</v>
      </c>
      <c r="J2" s="75" t="s">
        <v>117</v>
      </c>
      <c r="K2" s="292"/>
    </row>
    <row r="3" spans="1:13">
      <c r="A3" s="282"/>
      <c r="B3" s="285"/>
      <c r="C3" s="76" t="s">
        <v>118</v>
      </c>
      <c r="D3" s="293" t="s">
        <v>119</v>
      </c>
      <c r="E3" s="293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292"/>
    </row>
    <row r="4" spans="1:13">
      <c r="A4" s="283"/>
      <c r="B4" s="286"/>
      <c r="C4" s="79"/>
      <c r="D4" s="294"/>
      <c r="E4" s="294"/>
      <c r="F4" s="212" t="s">
        <v>124</v>
      </c>
      <c r="G4" s="211" t="s">
        <v>124</v>
      </c>
      <c r="H4" s="211" t="s">
        <v>124</v>
      </c>
      <c r="I4" s="211" t="s">
        <v>124</v>
      </c>
      <c r="J4" s="211" t="s">
        <v>124</v>
      </c>
      <c r="K4" s="80" t="s">
        <v>125</v>
      </c>
    </row>
    <row r="5" spans="1:13">
      <c r="A5" s="295" t="s">
        <v>126</v>
      </c>
      <c r="B5" s="296"/>
      <c r="C5" s="296"/>
      <c r="D5" s="296"/>
      <c r="E5" s="296"/>
      <c r="F5" s="296"/>
      <c r="G5" s="296"/>
      <c r="H5" s="296"/>
      <c r="I5" s="296"/>
      <c r="J5" s="296"/>
      <c r="K5" s="297"/>
      <c r="M5" t="s">
        <v>173</v>
      </c>
    </row>
    <row r="6" spans="1:13">
      <c r="A6" s="298">
        <v>1</v>
      </c>
      <c r="B6" s="81" t="s">
        <v>178</v>
      </c>
      <c r="C6" s="82">
        <v>116.56</v>
      </c>
      <c r="D6" s="83">
        <v>3249019000</v>
      </c>
      <c r="E6" s="83">
        <v>3253646000</v>
      </c>
      <c r="F6" s="84">
        <v>4627000</v>
      </c>
      <c r="G6" s="353">
        <v>9208000</v>
      </c>
      <c r="H6" s="241">
        <v>38100</v>
      </c>
      <c r="I6" s="230">
        <v>4588900</v>
      </c>
      <c r="J6" s="355">
        <v>9169900</v>
      </c>
      <c r="K6" s="85">
        <v>39.700000000000003</v>
      </c>
      <c r="M6" s="164">
        <f>SUM(C6:C15)</f>
        <v>3159.4700000000003</v>
      </c>
    </row>
    <row r="7" spans="1:13">
      <c r="A7" s="299"/>
      <c r="B7" s="86" t="s">
        <v>127</v>
      </c>
      <c r="C7" s="87">
        <v>116.53</v>
      </c>
      <c r="D7" s="83">
        <v>3306423000</v>
      </c>
      <c r="E7" s="83">
        <v>3311004000</v>
      </c>
      <c r="F7" s="88">
        <v>4581000</v>
      </c>
      <c r="G7" s="354"/>
      <c r="H7" s="242">
        <v>0</v>
      </c>
      <c r="I7" s="230">
        <v>4581000</v>
      </c>
      <c r="J7" s="356"/>
      <c r="K7" s="85">
        <v>39.31</v>
      </c>
      <c r="M7" s="13">
        <f>SUM(C18:C29)</f>
        <v>3295.43</v>
      </c>
    </row>
    <row r="8" spans="1:13">
      <c r="A8" s="89">
        <v>2</v>
      </c>
      <c r="B8" s="86" t="s">
        <v>128</v>
      </c>
      <c r="C8" s="90">
        <v>667.87</v>
      </c>
      <c r="D8" s="91">
        <v>991250200</v>
      </c>
      <c r="E8" s="91">
        <v>994736600</v>
      </c>
      <c r="F8" s="84">
        <v>3486400</v>
      </c>
      <c r="G8" s="92">
        <v>3486400</v>
      </c>
      <c r="H8" s="251">
        <v>25346</v>
      </c>
      <c r="I8" s="230">
        <v>3461054</v>
      </c>
      <c r="J8" s="254">
        <v>3461054</v>
      </c>
      <c r="K8" s="85">
        <v>5.22</v>
      </c>
      <c r="M8" s="165">
        <f>SUM(C32:C40)</f>
        <v>2395.37</v>
      </c>
    </row>
    <row r="9" spans="1:13">
      <c r="A9" s="304">
        <v>3</v>
      </c>
      <c r="B9" s="86" t="s">
        <v>129</v>
      </c>
      <c r="C9" s="93">
        <v>253.89</v>
      </c>
      <c r="D9" s="94" t="s">
        <v>175</v>
      </c>
      <c r="E9" s="95"/>
      <c r="F9" s="84">
        <v>5410968</v>
      </c>
      <c r="G9" s="357">
        <v>10772658</v>
      </c>
      <c r="H9" s="243">
        <v>41584</v>
      </c>
      <c r="I9" s="244">
        <v>5369384</v>
      </c>
      <c r="J9" s="307">
        <v>10731074</v>
      </c>
      <c r="K9" s="85">
        <v>21.31</v>
      </c>
      <c r="M9" s="165">
        <f>SUM(C43:C53)</f>
        <v>3422.0899999999997</v>
      </c>
    </row>
    <row r="10" spans="1:13" ht="15.75">
      <c r="A10" s="299"/>
      <c r="B10" s="86" t="s">
        <v>130</v>
      </c>
      <c r="C10" s="93">
        <v>251.92</v>
      </c>
      <c r="D10" s="97"/>
      <c r="E10" s="98"/>
      <c r="F10" s="84">
        <v>5361690</v>
      </c>
      <c r="G10" s="358"/>
      <c r="H10" s="245">
        <v>0</v>
      </c>
      <c r="I10" s="231">
        <v>5361690</v>
      </c>
      <c r="J10" s="359"/>
      <c r="K10" s="85">
        <v>21.28</v>
      </c>
      <c r="M10" s="166">
        <f>SUM(M6:M9)</f>
        <v>12272.36</v>
      </c>
    </row>
    <row r="11" spans="1:13">
      <c r="A11" s="304">
        <v>4</v>
      </c>
      <c r="B11" s="86" t="s">
        <v>131</v>
      </c>
      <c r="C11" s="93">
        <v>669.65</v>
      </c>
      <c r="D11" s="99"/>
      <c r="E11" s="100"/>
      <c r="F11" s="101">
        <v>553044</v>
      </c>
      <c r="G11" s="345">
        <v>1078300</v>
      </c>
      <c r="H11" s="360">
        <v>10410</v>
      </c>
      <c r="I11" s="231">
        <v>542634</v>
      </c>
      <c r="J11" s="362">
        <v>1067890</v>
      </c>
      <c r="K11" s="85">
        <v>0.83</v>
      </c>
    </row>
    <row r="12" spans="1:13">
      <c r="A12" s="299"/>
      <c r="B12" s="86" t="s">
        <v>132</v>
      </c>
      <c r="C12" s="93">
        <v>669.9</v>
      </c>
      <c r="D12" s="102"/>
      <c r="E12" s="103"/>
      <c r="F12" s="101">
        <v>525256</v>
      </c>
      <c r="G12" s="354"/>
      <c r="H12" s="361"/>
      <c r="I12" s="231">
        <v>525256</v>
      </c>
      <c r="J12" s="303"/>
      <c r="K12" s="85">
        <v>0.78</v>
      </c>
    </row>
    <row r="13" spans="1:13">
      <c r="A13" s="304">
        <v>5</v>
      </c>
      <c r="B13" s="86" t="s">
        <v>133</v>
      </c>
      <c r="C13" s="104">
        <v>201.99</v>
      </c>
      <c r="D13" s="105">
        <v>6803742</v>
      </c>
      <c r="E13" s="105">
        <v>6826679</v>
      </c>
      <c r="F13" s="84">
        <v>22937</v>
      </c>
      <c r="G13" s="345">
        <v>49808</v>
      </c>
      <c r="H13" s="363">
        <v>759</v>
      </c>
      <c r="I13" s="231">
        <v>22178</v>
      </c>
      <c r="J13" s="365">
        <v>49049</v>
      </c>
      <c r="K13" s="85">
        <v>0.11</v>
      </c>
    </row>
    <row r="14" spans="1:13">
      <c r="A14" s="299"/>
      <c r="B14" s="86" t="s">
        <v>134</v>
      </c>
      <c r="C14" s="104">
        <v>211.16</v>
      </c>
      <c r="D14" s="105">
        <v>6511024</v>
      </c>
      <c r="E14" s="105">
        <v>6537895</v>
      </c>
      <c r="F14" s="84">
        <v>26871</v>
      </c>
      <c r="G14" s="354"/>
      <c r="H14" s="364"/>
      <c r="I14" s="231">
        <v>26871</v>
      </c>
      <c r="J14" s="303"/>
      <c r="K14" s="85">
        <v>0.13</v>
      </c>
    </row>
    <row r="15" spans="1:13" ht="15.75" thickBot="1">
      <c r="A15" s="106">
        <v>6</v>
      </c>
      <c r="B15" s="107" t="s">
        <v>135</v>
      </c>
      <c r="C15" s="108">
        <v>0</v>
      </c>
      <c r="D15" s="366">
        <v>49338089</v>
      </c>
      <c r="E15" s="367">
        <v>49338089</v>
      </c>
      <c r="F15" s="219">
        <v>0</v>
      </c>
      <c r="G15" s="223">
        <v>0</v>
      </c>
      <c r="H15" s="234">
        <v>9057</v>
      </c>
      <c r="I15" s="235">
        <v>0</v>
      </c>
      <c r="J15" s="255">
        <v>0</v>
      </c>
      <c r="K15" s="109">
        <v>0</v>
      </c>
    </row>
    <row r="16" spans="1:13" ht="16.5" thickTop="1" thickBot="1">
      <c r="A16" s="318" t="s">
        <v>136</v>
      </c>
      <c r="B16" s="319"/>
      <c r="C16" s="319"/>
      <c r="D16" s="319"/>
      <c r="E16" s="320"/>
      <c r="F16" s="110">
        <v>24595166</v>
      </c>
      <c r="G16" s="110">
        <v>24595166</v>
      </c>
      <c r="H16" s="110">
        <v>125256</v>
      </c>
      <c r="I16" s="110">
        <v>24478967</v>
      </c>
      <c r="J16" s="110">
        <v>24478967</v>
      </c>
      <c r="K16" s="111">
        <v>129</v>
      </c>
    </row>
    <row r="17" spans="1:11" ht="15.75" thickTop="1">
      <c r="A17" s="368" t="s">
        <v>137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70"/>
    </row>
    <row r="18" spans="1:11">
      <c r="A18" s="217">
        <v>7</v>
      </c>
      <c r="B18" s="112" t="s">
        <v>138</v>
      </c>
      <c r="C18" s="113">
        <v>147.80000000000001</v>
      </c>
      <c r="D18" s="114">
        <v>56170000</v>
      </c>
      <c r="E18" s="114">
        <v>57400000</v>
      </c>
      <c r="F18" s="84">
        <v>1230000</v>
      </c>
      <c r="G18" s="223">
        <v>1230000</v>
      </c>
      <c r="H18" s="115">
        <v>13344</v>
      </c>
      <c r="I18" s="233">
        <v>1216656</v>
      </c>
      <c r="J18" s="246">
        <v>1216656</v>
      </c>
      <c r="K18" s="85">
        <v>8.32</v>
      </c>
    </row>
    <row r="19" spans="1:11">
      <c r="A19" s="89">
        <v>8</v>
      </c>
      <c r="B19" s="116" t="s">
        <v>139</v>
      </c>
      <c r="C19" s="113">
        <v>617.36</v>
      </c>
      <c r="D19" s="94">
        <v>776557500</v>
      </c>
      <c r="E19" s="95">
        <v>780892600</v>
      </c>
      <c r="F19" s="219">
        <v>4335100</v>
      </c>
      <c r="G19" s="223">
        <v>4335100</v>
      </c>
      <c r="H19" s="234">
        <v>2517</v>
      </c>
      <c r="I19" s="235">
        <v>4332583</v>
      </c>
      <c r="J19" s="237">
        <v>4332583</v>
      </c>
      <c r="K19" s="109">
        <v>7.02</v>
      </c>
    </row>
    <row r="20" spans="1:11">
      <c r="A20" s="89"/>
      <c r="B20" s="116"/>
      <c r="C20" s="269"/>
      <c r="D20" s="121"/>
      <c r="E20" s="121"/>
      <c r="F20" s="219"/>
      <c r="G20" s="223"/>
      <c r="H20" s="268"/>
      <c r="I20" s="235"/>
      <c r="J20" s="237"/>
      <c r="K20" s="109"/>
    </row>
    <row r="21" spans="1:11">
      <c r="A21" s="89">
        <v>9</v>
      </c>
      <c r="B21" s="116" t="s">
        <v>140</v>
      </c>
      <c r="C21" s="82">
        <v>264.89999999999998</v>
      </c>
      <c r="D21" s="248">
        <v>683424066</v>
      </c>
      <c r="E21" s="248">
        <v>685134066</v>
      </c>
      <c r="F21" s="84">
        <v>1710000</v>
      </c>
      <c r="G21" s="223">
        <v>1710000</v>
      </c>
      <c r="H21" s="236">
        <v>4675</v>
      </c>
      <c r="I21" s="235">
        <v>1705325</v>
      </c>
      <c r="J21" s="237">
        <v>1705325</v>
      </c>
      <c r="K21" s="109">
        <v>6.46</v>
      </c>
    </row>
    <row r="22" spans="1:11">
      <c r="A22" s="325">
        <v>10</v>
      </c>
      <c r="B22" s="116" t="s">
        <v>141</v>
      </c>
      <c r="C22" s="93">
        <v>378.55</v>
      </c>
      <c r="D22" s="256">
        <v>634789500</v>
      </c>
      <c r="E22" s="256">
        <v>639216000</v>
      </c>
      <c r="F22" s="84">
        <v>4426500</v>
      </c>
      <c r="G22" s="314">
        <v>9059500</v>
      </c>
      <c r="H22" s="327">
        <v>53845</v>
      </c>
      <c r="I22" s="249">
        <v>4372655</v>
      </c>
      <c r="J22" s="372">
        <v>9005655</v>
      </c>
      <c r="K22" s="85">
        <v>11.69</v>
      </c>
    </row>
    <row r="23" spans="1:11">
      <c r="A23" s="326"/>
      <c r="B23" s="116" t="s">
        <v>142</v>
      </c>
      <c r="C23" s="118">
        <v>398.85</v>
      </c>
      <c r="D23" s="253">
        <v>524794000</v>
      </c>
      <c r="E23" s="253">
        <v>529427000</v>
      </c>
      <c r="F23" s="88">
        <v>4633000</v>
      </c>
      <c r="G23" s="301"/>
      <c r="H23" s="371"/>
      <c r="I23" s="235">
        <v>4633000</v>
      </c>
      <c r="J23" s="373"/>
      <c r="K23" s="85">
        <v>11.62</v>
      </c>
    </row>
    <row r="24" spans="1:11">
      <c r="A24" s="89">
        <v>11</v>
      </c>
      <c r="B24" s="116" t="s">
        <v>143</v>
      </c>
      <c r="C24" s="93">
        <v>150.68</v>
      </c>
      <c r="D24" s="97">
        <v>11200504</v>
      </c>
      <c r="E24" s="98">
        <v>11265071</v>
      </c>
      <c r="F24" s="84">
        <v>64567</v>
      </c>
      <c r="G24" s="223">
        <v>64567</v>
      </c>
      <c r="H24" s="231">
        <v>2243</v>
      </c>
      <c r="I24" s="257">
        <v>62324</v>
      </c>
      <c r="J24" s="255">
        <v>62324</v>
      </c>
      <c r="K24" s="85">
        <v>0.43</v>
      </c>
    </row>
    <row r="25" spans="1:11">
      <c r="A25" s="325">
        <v>12</v>
      </c>
      <c r="B25" s="119" t="s">
        <v>144</v>
      </c>
      <c r="C25" s="120">
        <v>201.09</v>
      </c>
      <c r="D25" s="97"/>
      <c r="E25" s="121"/>
      <c r="F25" s="122">
        <v>16864</v>
      </c>
      <c r="G25" s="331">
        <v>45578</v>
      </c>
      <c r="H25" s="333">
        <v>1388</v>
      </c>
      <c r="I25" s="231">
        <v>16864</v>
      </c>
      <c r="J25" s="375">
        <v>44190</v>
      </c>
      <c r="K25" s="85">
        <v>0.08</v>
      </c>
    </row>
    <row r="26" spans="1:11">
      <c r="A26" s="326"/>
      <c r="B26" s="119" t="s">
        <v>145</v>
      </c>
      <c r="C26" s="120">
        <v>209.35</v>
      </c>
      <c r="D26" s="97"/>
      <c r="E26" s="121"/>
      <c r="F26" s="122">
        <v>28714</v>
      </c>
      <c r="G26" s="332"/>
      <c r="H26" s="374"/>
      <c r="I26" s="231">
        <v>27326</v>
      </c>
      <c r="J26" s="376"/>
      <c r="K26" s="85">
        <v>0.14000000000000001</v>
      </c>
    </row>
    <row r="27" spans="1:11">
      <c r="A27" s="106">
        <v>13</v>
      </c>
      <c r="B27" s="123" t="s">
        <v>146</v>
      </c>
      <c r="C27" s="104">
        <v>257.17</v>
      </c>
      <c r="D27" s="97"/>
      <c r="E27" s="98"/>
      <c r="F27" s="124">
        <v>90402</v>
      </c>
      <c r="G27" s="125">
        <v>90402</v>
      </c>
      <c r="H27" s="250">
        <v>2848</v>
      </c>
      <c r="I27" s="233">
        <v>87554</v>
      </c>
      <c r="J27" s="258">
        <v>87554</v>
      </c>
      <c r="K27" s="85">
        <v>0.35</v>
      </c>
    </row>
    <row r="28" spans="1:11">
      <c r="A28" s="304">
        <v>14</v>
      </c>
      <c r="B28" s="126" t="s">
        <v>147</v>
      </c>
      <c r="C28" s="82">
        <v>217</v>
      </c>
      <c r="D28" s="127">
        <v>11298000</v>
      </c>
      <c r="E28" s="127">
        <v>12558200</v>
      </c>
      <c r="F28" s="101">
        <v>1260200</v>
      </c>
      <c r="G28" s="309">
        <v>4884700</v>
      </c>
      <c r="H28" s="250">
        <v>72717</v>
      </c>
      <c r="I28" s="234">
        <v>1187483</v>
      </c>
      <c r="J28" s="338">
        <v>4811983</v>
      </c>
      <c r="K28" s="128">
        <v>5.81</v>
      </c>
    </row>
    <row r="29" spans="1:11" ht="15.75" thickBot="1">
      <c r="A29" s="344"/>
      <c r="B29" s="129" t="s">
        <v>148</v>
      </c>
      <c r="C29" s="93">
        <v>452.68</v>
      </c>
      <c r="D29" s="101">
        <v>50491300</v>
      </c>
      <c r="E29" s="101">
        <v>54115800</v>
      </c>
      <c r="F29" s="101">
        <v>3624500</v>
      </c>
      <c r="G29" s="377"/>
      <c r="H29" s="239">
        <v>0</v>
      </c>
      <c r="I29" s="240">
        <v>3624500</v>
      </c>
      <c r="J29" s="378"/>
      <c r="K29" s="128">
        <v>8.01</v>
      </c>
    </row>
    <row r="30" spans="1:11" ht="16.5" thickTop="1" thickBot="1">
      <c r="A30" s="318" t="s">
        <v>149</v>
      </c>
      <c r="B30" s="319"/>
      <c r="C30" s="319"/>
      <c r="D30" s="319"/>
      <c r="E30" s="320"/>
      <c r="F30" s="110">
        <v>21419847</v>
      </c>
      <c r="G30" s="110">
        <v>21419847</v>
      </c>
      <c r="H30" s="110">
        <v>153577</v>
      </c>
      <c r="I30" s="110">
        <v>21266270</v>
      </c>
      <c r="J30" s="110">
        <v>21266270</v>
      </c>
      <c r="K30" s="111">
        <v>60</v>
      </c>
    </row>
    <row r="31" spans="1:11" ht="15.75" thickTop="1">
      <c r="A31" s="321" t="s">
        <v>150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11">
      <c r="A32" s="298">
        <v>15</v>
      </c>
      <c r="B32" s="130" t="s">
        <v>151</v>
      </c>
      <c r="C32" s="131">
        <v>160.72</v>
      </c>
      <c r="D32" s="132">
        <v>3984100079</v>
      </c>
      <c r="E32" s="132">
        <v>3987641666</v>
      </c>
      <c r="F32" s="101">
        <v>3541587</v>
      </c>
      <c r="G32" s="379">
        <v>4122687</v>
      </c>
      <c r="H32" s="133">
        <v>16228</v>
      </c>
      <c r="I32" s="134">
        <v>3525359</v>
      </c>
      <c r="J32" s="380">
        <v>4106459</v>
      </c>
      <c r="K32" s="135">
        <v>22.04</v>
      </c>
    </row>
    <row r="33" spans="1:11">
      <c r="A33" s="299"/>
      <c r="B33" s="130" t="s">
        <v>152</v>
      </c>
      <c r="C33" s="136">
        <v>32.24</v>
      </c>
      <c r="D33" s="137">
        <v>789865300</v>
      </c>
      <c r="E33" s="137">
        <v>790446400</v>
      </c>
      <c r="F33" s="84">
        <v>581100</v>
      </c>
      <c r="G33" s="310"/>
      <c r="H33" s="101">
        <v>0</v>
      </c>
      <c r="I33" s="134">
        <v>581100</v>
      </c>
      <c r="J33" s="381"/>
      <c r="K33" s="138">
        <v>18.02</v>
      </c>
    </row>
    <row r="34" spans="1:11">
      <c r="A34" s="304">
        <v>16</v>
      </c>
      <c r="B34" s="139" t="s">
        <v>153</v>
      </c>
      <c r="C34" s="206">
        <v>222.39</v>
      </c>
      <c r="D34" s="140">
        <v>2690008003</v>
      </c>
      <c r="E34" s="140">
        <v>2699834858</v>
      </c>
      <c r="F34" s="84">
        <v>9826855</v>
      </c>
      <c r="G34" s="309">
        <v>14036106</v>
      </c>
      <c r="H34" s="141">
        <v>0</v>
      </c>
      <c r="I34" s="238">
        <v>9826855</v>
      </c>
      <c r="J34" s="382">
        <v>13869556</v>
      </c>
      <c r="K34" s="138">
        <v>44.19</v>
      </c>
    </row>
    <row r="35" spans="1:11">
      <c r="A35" s="299"/>
      <c r="B35" s="130" t="s">
        <v>154</v>
      </c>
      <c r="C35" s="206">
        <v>100.57</v>
      </c>
      <c r="D35" s="105">
        <v>2580366497</v>
      </c>
      <c r="E35" s="105">
        <v>2584575748</v>
      </c>
      <c r="F35" s="88">
        <v>4209251</v>
      </c>
      <c r="G35" s="310"/>
      <c r="H35" s="141">
        <v>166550</v>
      </c>
      <c r="I35" s="238">
        <v>4042701</v>
      </c>
      <c r="J35" s="381"/>
      <c r="K35" s="138">
        <v>41.85</v>
      </c>
    </row>
    <row r="36" spans="1:11">
      <c r="A36" s="304">
        <v>17</v>
      </c>
      <c r="B36" s="130" t="s">
        <v>155</v>
      </c>
      <c r="C36" s="206">
        <v>278.75</v>
      </c>
      <c r="D36" s="190">
        <v>625339392</v>
      </c>
      <c r="E36" s="190">
        <v>632710016</v>
      </c>
      <c r="F36" s="84">
        <v>7370624</v>
      </c>
      <c r="G36" s="309">
        <v>15637696</v>
      </c>
      <c r="H36" s="101">
        <v>91171</v>
      </c>
      <c r="I36" s="134">
        <v>7279453</v>
      </c>
      <c r="J36" s="382">
        <v>15546525</v>
      </c>
      <c r="K36" s="138">
        <v>26.44</v>
      </c>
    </row>
    <row r="37" spans="1:11">
      <c r="A37" s="299"/>
      <c r="B37" s="139" t="s">
        <v>156</v>
      </c>
      <c r="C37" s="82">
        <v>307.75</v>
      </c>
      <c r="D37" s="143">
        <v>841564224</v>
      </c>
      <c r="E37" s="143">
        <v>849831296</v>
      </c>
      <c r="F37" s="84">
        <v>8267072</v>
      </c>
      <c r="G37" s="310"/>
      <c r="H37" s="144">
        <v>0</v>
      </c>
      <c r="I37" s="134">
        <v>8267072</v>
      </c>
      <c r="J37" s="381"/>
      <c r="K37" s="138">
        <v>26.86</v>
      </c>
    </row>
    <row r="38" spans="1:11">
      <c r="A38" s="145">
        <v>18</v>
      </c>
      <c r="B38" s="130" t="s">
        <v>157</v>
      </c>
      <c r="C38" s="82">
        <v>643.21</v>
      </c>
      <c r="D38" s="146"/>
      <c r="E38" s="147"/>
      <c r="F38" s="148">
        <v>84736</v>
      </c>
      <c r="G38" s="220">
        <v>84736</v>
      </c>
      <c r="H38" s="220">
        <v>1991</v>
      </c>
      <c r="I38" s="219">
        <v>82745</v>
      </c>
      <c r="J38" s="134">
        <v>82745</v>
      </c>
      <c r="K38" s="138">
        <v>0.13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20">
        <v>0</v>
      </c>
      <c r="H39" s="219">
        <v>521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649.74</v>
      </c>
      <c r="D40" s="151">
        <v>39508687</v>
      </c>
      <c r="E40" s="152">
        <v>39839914</v>
      </c>
      <c r="F40" s="84">
        <v>331227</v>
      </c>
      <c r="G40" s="219">
        <v>331227</v>
      </c>
      <c r="H40" s="84">
        <v>6841</v>
      </c>
      <c r="I40" s="219">
        <v>324386</v>
      </c>
      <c r="J40" s="234">
        <v>324386</v>
      </c>
      <c r="K40" s="138">
        <v>0.51</v>
      </c>
    </row>
    <row r="41" spans="1:11" ht="16.5" thickTop="1" thickBot="1">
      <c r="A41" s="318" t="s">
        <v>160</v>
      </c>
      <c r="B41" s="319"/>
      <c r="C41" s="319"/>
      <c r="D41" s="319"/>
      <c r="E41" s="320"/>
      <c r="F41" s="110">
        <v>34212452</v>
      </c>
      <c r="G41" s="110">
        <v>34212452</v>
      </c>
      <c r="H41" s="110">
        <v>283302</v>
      </c>
      <c r="I41" s="110">
        <v>33929671</v>
      </c>
      <c r="J41" s="110">
        <v>33929671</v>
      </c>
      <c r="K41" s="111">
        <v>180</v>
      </c>
    </row>
    <row r="42" spans="1:11" ht="15.75" thickTop="1">
      <c r="A42" s="321" t="s">
        <v>161</v>
      </c>
      <c r="B42" s="322"/>
      <c r="C42" s="322"/>
      <c r="D42" s="322"/>
      <c r="E42" s="322"/>
      <c r="F42" s="322"/>
      <c r="G42" s="322"/>
      <c r="H42" s="322"/>
      <c r="I42" s="322"/>
      <c r="J42" s="322"/>
      <c r="K42" s="323"/>
    </row>
    <row r="43" spans="1:11">
      <c r="A43" s="217">
        <v>21</v>
      </c>
      <c r="B43" s="153" t="s">
        <v>162</v>
      </c>
      <c r="C43" s="136">
        <v>658.73</v>
      </c>
      <c r="D43" s="154">
        <v>882377001</v>
      </c>
      <c r="E43" s="154">
        <v>889292218</v>
      </c>
      <c r="F43" s="84">
        <v>6915217</v>
      </c>
      <c r="G43" s="219">
        <v>6915217</v>
      </c>
      <c r="H43" s="219">
        <v>11547</v>
      </c>
      <c r="I43" s="219">
        <v>6903670</v>
      </c>
      <c r="J43" s="134">
        <v>6903670</v>
      </c>
      <c r="K43" s="150">
        <v>10.5</v>
      </c>
    </row>
    <row r="44" spans="1:11">
      <c r="A44" s="89">
        <v>22</v>
      </c>
      <c r="B44" s="155" t="s">
        <v>163</v>
      </c>
      <c r="C44" s="156">
        <v>424.38</v>
      </c>
      <c r="D44" s="157">
        <v>669859400</v>
      </c>
      <c r="E44" s="157">
        <v>671623500</v>
      </c>
      <c r="F44" s="84">
        <v>1764100</v>
      </c>
      <c r="G44" s="84">
        <v>1764100</v>
      </c>
      <c r="H44" s="84">
        <v>10373</v>
      </c>
      <c r="I44" s="219">
        <v>1753727</v>
      </c>
      <c r="J44" s="92">
        <v>1753727</v>
      </c>
      <c r="K44" s="150">
        <v>4.16</v>
      </c>
    </row>
    <row r="45" spans="1:11">
      <c r="A45" s="218">
        <v>23</v>
      </c>
      <c r="B45" s="130" t="s">
        <v>164</v>
      </c>
      <c r="C45" s="156">
        <v>626.64</v>
      </c>
      <c r="D45" s="213">
        <v>427008055</v>
      </c>
      <c r="E45" s="213">
        <v>428093687</v>
      </c>
      <c r="F45" s="84">
        <v>1085632</v>
      </c>
      <c r="G45" s="84">
        <v>1085632</v>
      </c>
      <c r="H45" s="84">
        <v>8258</v>
      </c>
      <c r="I45" s="84">
        <v>1077374</v>
      </c>
      <c r="J45" s="92">
        <v>1077374</v>
      </c>
      <c r="K45" s="150">
        <v>1.73</v>
      </c>
    </row>
    <row r="46" spans="1:11">
      <c r="A46" s="304">
        <v>24</v>
      </c>
      <c r="B46" s="158" t="s">
        <v>165</v>
      </c>
      <c r="C46" s="156">
        <v>513.08000000000004</v>
      </c>
      <c r="D46" s="157">
        <v>376088400</v>
      </c>
      <c r="E46" s="157">
        <v>377693400</v>
      </c>
      <c r="F46" s="84">
        <v>1605000</v>
      </c>
      <c r="G46" s="309">
        <v>2821800</v>
      </c>
      <c r="H46" s="314">
        <v>12237</v>
      </c>
      <c r="I46" s="101">
        <v>1592763</v>
      </c>
      <c r="J46" s="309">
        <v>2809563</v>
      </c>
      <c r="K46" s="150">
        <v>3.13</v>
      </c>
    </row>
    <row r="47" spans="1:11">
      <c r="A47" s="299"/>
      <c r="B47" s="159" t="s">
        <v>166</v>
      </c>
      <c r="C47" s="156">
        <v>460.53</v>
      </c>
      <c r="D47" s="157">
        <v>476494800</v>
      </c>
      <c r="E47" s="157">
        <v>477711600</v>
      </c>
      <c r="F47" s="84">
        <v>1216800</v>
      </c>
      <c r="G47" s="310"/>
      <c r="H47" s="301"/>
      <c r="I47" s="101">
        <v>1216800</v>
      </c>
      <c r="J47" s="310"/>
      <c r="K47" s="150">
        <v>2.64</v>
      </c>
    </row>
    <row r="48" spans="1:11">
      <c r="A48" s="304">
        <v>25</v>
      </c>
      <c r="B48" s="160" t="s">
        <v>167</v>
      </c>
      <c r="C48" s="156">
        <v>273.66000000000003</v>
      </c>
      <c r="D48" s="157">
        <v>9589891</v>
      </c>
      <c r="E48" s="157">
        <v>9884182</v>
      </c>
      <c r="F48" s="84">
        <v>294291</v>
      </c>
      <c r="G48" s="309">
        <v>555769</v>
      </c>
      <c r="H48" s="221">
        <v>13842</v>
      </c>
      <c r="I48" s="101">
        <v>280449</v>
      </c>
      <c r="J48" s="309">
        <v>541927</v>
      </c>
      <c r="K48" s="150">
        <v>1.08</v>
      </c>
    </row>
    <row r="49" spans="1:11">
      <c r="A49" s="299">
        <v>21</v>
      </c>
      <c r="B49" s="126" t="s">
        <v>168</v>
      </c>
      <c r="C49" s="156">
        <v>269.07</v>
      </c>
      <c r="D49" s="157">
        <v>2327524</v>
      </c>
      <c r="E49" s="157">
        <v>2589002</v>
      </c>
      <c r="F49" s="84">
        <v>261478</v>
      </c>
      <c r="G49" s="310"/>
      <c r="H49" s="242">
        <v>0</v>
      </c>
      <c r="I49" s="222">
        <v>261478</v>
      </c>
      <c r="J49" s="310"/>
      <c r="K49" s="138">
        <v>0.97</v>
      </c>
    </row>
    <row r="50" spans="1:11">
      <c r="A50" s="304">
        <v>26</v>
      </c>
      <c r="B50" s="126" t="s">
        <v>169</v>
      </c>
      <c r="C50" s="156">
        <v>0</v>
      </c>
      <c r="D50" s="259">
        <v>615162</v>
      </c>
      <c r="E50" s="95">
        <v>615162</v>
      </c>
      <c r="F50" s="148">
        <v>0</v>
      </c>
      <c r="G50" s="309">
        <v>0</v>
      </c>
      <c r="H50" s="221">
        <v>5790</v>
      </c>
      <c r="I50" s="101">
        <v>0</v>
      </c>
      <c r="J50" s="309">
        <v>0</v>
      </c>
      <c r="K50" s="150">
        <v>0</v>
      </c>
    </row>
    <row r="51" spans="1:11">
      <c r="A51" s="299">
        <v>21</v>
      </c>
      <c r="B51" s="161" t="s">
        <v>170</v>
      </c>
      <c r="C51" s="156">
        <v>0</v>
      </c>
      <c r="D51" s="162">
        <v>669792</v>
      </c>
      <c r="E51" s="152">
        <v>669792</v>
      </c>
      <c r="F51" s="148">
        <v>0</v>
      </c>
      <c r="G51" s="310"/>
      <c r="H51" s="84">
        <v>0</v>
      </c>
      <c r="I51" s="101">
        <v>0</v>
      </c>
      <c r="J51" s="310"/>
      <c r="K51" s="150">
        <v>0</v>
      </c>
    </row>
    <row r="52" spans="1:11">
      <c r="A52" s="304">
        <v>27</v>
      </c>
      <c r="B52" s="126" t="s">
        <v>103</v>
      </c>
      <c r="C52" s="93">
        <v>94.48</v>
      </c>
      <c r="D52" s="127">
        <v>566991104</v>
      </c>
      <c r="E52" s="127">
        <v>570050432</v>
      </c>
      <c r="F52" s="84">
        <v>3059328</v>
      </c>
      <c r="G52" s="314">
        <v>6408640</v>
      </c>
      <c r="H52" s="251">
        <v>108487</v>
      </c>
      <c r="I52" s="231">
        <v>2950841</v>
      </c>
      <c r="J52" s="345">
        <v>6300153</v>
      </c>
      <c r="K52" s="138">
        <v>32.380000000000003</v>
      </c>
    </row>
    <row r="53" spans="1:11" ht="15.75" thickBot="1">
      <c r="A53" s="344"/>
      <c r="B53" s="107" t="s">
        <v>104</v>
      </c>
      <c r="C53" s="163">
        <v>101.52</v>
      </c>
      <c r="D53" s="84">
        <v>592409920</v>
      </c>
      <c r="E53" s="84">
        <v>595759232</v>
      </c>
      <c r="F53" s="84">
        <v>3349312</v>
      </c>
      <c r="G53" s="337"/>
      <c r="H53" s="242">
        <v>0</v>
      </c>
      <c r="I53" s="252">
        <v>3349312</v>
      </c>
      <c r="J53" s="346"/>
      <c r="K53" s="138">
        <v>32.99</v>
      </c>
    </row>
    <row r="54" spans="1:11" ht="16.5" thickTop="1" thickBot="1">
      <c r="A54" s="347" t="s">
        <v>171</v>
      </c>
      <c r="B54" s="348"/>
      <c r="C54" s="348"/>
      <c r="D54" s="348"/>
      <c r="E54" s="349"/>
      <c r="F54" s="110">
        <v>19551158</v>
      </c>
      <c r="G54" s="110">
        <v>19551158</v>
      </c>
      <c r="H54" s="110">
        <v>170534</v>
      </c>
      <c r="I54" s="110">
        <v>19386414</v>
      </c>
      <c r="J54" s="110">
        <v>19386414</v>
      </c>
      <c r="K54" s="111">
        <v>90</v>
      </c>
    </row>
    <row r="55" spans="1:11" ht="17.25" thickTop="1" thickBot="1">
      <c r="A55" s="350" t="s">
        <v>172</v>
      </c>
      <c r="B55" s="351"/>
      <c r="C55" s="351"/>
      <c r="D55" s="351"/>
      <c r="E55" s="352"/>
      <c r="F55" s="110">
        <v>99778623</v>
      </c>
      <c r="G55" s="110">
        <v>99778623</v>
      </c>
      <c r="H55" s="110">
        <v>732669</v>
      </c>
      <c r="I55" s="110">
        <v>99061322</v>
      </c>
      <c r="J55" s="110">
        <v>99061322</v>
      </c>
      <c r="K55" s="111">
        <v>459</v>
      </c>
    </row>
  </sheetData>
  <mergeCells count="63">
    <mergeCell ref="A52:A53"/>
    <mergeCell ref="G52:G53"/>
    <mergeCell ref="J52:J53"/>
    <mergeCell ref="A54:E54"/>
    <mergeCell ref="A55:E55"/>
    <mergeCell ref="A50:A51"/>
    <mergeCell ref="G50:G51"/>
    <mergeCell ref="J50:J51"/>
    <mergeCell ref="A46:A47"/>
    <mergeCell ref="G46:G47"/>
    <mergeCell ref="H46:H47"/>
    <mergeCell ref="J46:J47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30:E30"/>
    <mergeCell ref="A31:K31"/>
    <mergeCell ref="D15:E15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11:A12"/>
    <mergeCell ref="G11:G12"/>
    <mergeCell ref="H11:H12"/>
    <mergeCell ref="J11:J12"/>
    <mergeCell ref="A13:A14"/>
    <mergeCell ref="G13:G14"/>
    <mergeCell ref="H13:H14"/>
    <mergeCell ref="J13:J14"/>
    <mergeCell ref="A5:K5"/>
    <mergeCell ref="A6:A7"/>
    <mergeCell ref="G6:G7"/>
    <mergeCell ref="J6:J7"/>
    <mergeCell ref="A9:A10"/>
    <mergeCell ref="G9:G10"/>
    <mergeCell ref="J9:J10"/>
    <mergeCell ref="A1:A4"/>
    <mergeCell ref="B1:B4"/>
    <mergeCell ref="D1:E2"/>
    <mergeCell ref="K1:K3"/>
    <mergeCell ref="D3:D4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workbookViewId="0">
      <selection activeCell="B1" sqref="A1:K54"/>
    </sheetView>
  </sheetViews>
  <sheetFormatPr baseColWidth="10" defaultColWidth="9" defaultRowHeight="15"/>
  <cols>
    <col min="4" max="5" width="12.7109375" bestFit="1" customWidth="1"/>
    <col min="6" max="6" width="13.140625" bestFit="1" customWidth="1"/>
    <col min="7" max="7" width="12.5703125" bestFit="1" customWidth="1"/>
    <col min="8" max="8" width="10.5703125" bestFit="1" customWidth="1"/>
    <col min="9" max="9" width="11.85546875" bestFit="1" customWidth="1"/>
    <col min="10" max="10" width="11.140625" bestFit="1" customWidth="1"/>
    <col min="11" max="11" width="21.42578125" bestFit="1" customWidth="1"/>
    <col min="13" max="13" width="10.140625" bestFit="1" customWidth="1"/>
  </cols>
  <sheetData>
    <row r="1" spans="1:15">
      <c r="A1" s="281" t="s">
        <v>1</v>
      </c>
      <c r="B1" s="284" t="s">
        <v>108</v>
      </c>
      <c r="C1" s="71"/>
      <c r="D1" s="287" t="s">
        <v>109</v>
      </c>
      <c r="E1" s="288"/>
      <c r="F1" s="72"/>
      <c r="G1" s="73" t="s">
        <v>110</v>
      </c>
      <c r="H1" s="209" t="s">
        <v>111</v>
      </c>
      <c r="I1" s="209"/>
      <c r="J1" s="74" t="s">
        <v>110</v>
      </c>
      <c r="K1" s="291" t="s">
        <v>112</v>
      </c>
    </row>
    <row r="2" spans="1:15">
      <c r="A2" s="282"/>
      <c r="B2" s="285"/>
      <c r="C2" s="210" t="s">
        <v>113</v>
      </c>
      <c r="D2" s="289"/>
      <c r="E2" s="290"/>
      <c r="F2" s="210" t="s">
        <v>114</v>
      </c>
      <c r="G2" s="75" t="s">
        <v>115</v>
      </c>
      <c r="H2" s="210" t="s">
        <v>116</v>
      </c>
      <c r="I2" s="210" t="s">
        <v>114</v>
      </c>
      <c r="J2" s="75" t="s">
        <v>117</v>
      </c>
      <c r="K2" s="292"/>
    </row>
    <row r="3" spans="1:15">
      <c r="A3" s="282"/>
      <c r="B3" s="285"/>
      <c r="C3" s="76" t="s">
        <v>118</v>
      </c>
      <c r="D3" s="293" t="s">
        <v>119</v>
      </c>
      <c r="E3" s="293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292"/>
    </row>
    <row r="4" spans="1:15">
      <c r="A4" s="283"/>
      <c r="B4" s="286"/>
      <c r="C4" s="79"/>
      <c r="D4" s="294"/>
      <c r="E4" s="294"/>
      <c r="F4" s="212" t="s">
        <v>124</v>
      </c>
      <c r="G4" s="211" t="s">
        <v>124</v>
      </c>
      <c r="H4" s="211" t="s">
        <v>124</v>
      </c>
      <c r="I4" s="211" t="s">
        <v>124</v>
      </c>
      <c r="J4" s="211" t="s">
        <v>124</v>
      </c>
      <c r="K4" s="80" t="s">
        <v>125</v>
      </c>
    </row>
    <row r="5" spans="1:15">
      <c r="A5" s="295" t="s">
        <v>126</v>
      </c>
      <c r="B5" s="296"/>
      <c r="C5" s="296"/>
      <c r="D5" s="296"/>
      <c r="E5" s="296"/>
      <c r="F5" s="296"/>
      <c r="G5" s="296"/>
      <c r="H5" s="296"/>
      <c r="I5" s="296"/>
      <c r="J5" s="296"/>
      <c r="K5" s="297"/>
      <c r="M5" t="s">
        <v>173</v>
      </c>
    </row>
    <row r="6" spans="1:15">
      <c r="A6" s="298">
        <v>1</v>
      </c>
      <c r="B6" s="81" t="s">
        <v>178</v>
      </c>
      <c r="C6" s="82">
        <v>128.09</v>
      </c>
      <c r="D6" s="83">
        <v>3253646000</v>
      </c>
      <c r="E6" s="83">
        <v>3258856000</v>
      </c>
      <c r="F6" s="84">
        <v>5210000</v>
      </c>
      <c r="G6" s="353">
        <v>10483000</v>
      </c>
      <c r="H6" s="241">
        <v>43080</v>
      </c>
      <c r="I6" s="230">
        <v>5166920</v>
      </c>
      <c r="J6" s="355">
        <v>10439920</v>
      </c>
      <c r="K6" s="85">
        <v>40.67</v>
      </c>
      <c r="M6" s="164">
        <f>SUM(C6:C15)</f>
        <v>3250.7400000000002</v>
      </c>
      <c r="O6" s="164"/>
    </row>
    <row r="7" spans="1:15">
      <c r="A7" s="299"/>
      <c r="B7" s="86" t="s">
        <v>127</v>
      </c>
      <c r="C7" s="87">
        <v>130.26</v>
      </c>
      <c r="D7" s="83">
        <v>3311004000</v>
      </c>
      <c r="E7" s="83">
        <v>3316277000</v>
      </c>
      <c r="F7" s="88">
        <v>5273000</v>
      </c>
      <c r="G7" s="354"/>
      <c r="H7" s="242">
        <v>0</v>
      </c>
      <c r="I7" s="230">
        <v>5273000</v>
      </c>
      <c r="J7" s="356"/>
      <c r="K7" s="85">
        <v>40.479999999999997</v>
      </c>
      <c r="M7" s="13">
        <f>SUM(C18:C29)</f>
        <v>4624.88</v>
      </c>
      <c r="O7" s="164"/>
    </row>
    <row r="8" spans="1:15">
      <c r="A8" s="89">
        <v>2</v>
      </c>
      <c r="B8" s="86" t="s">
        <v>128</v>
      </c>
      <c r="C8" s="90">
        <v>737</v>
      </c>
      <c r="D8" s="91">
        <v>994736600</v>
      </c>
      <c r="E8" s="91">
        <v>998577600</v>
      </c>
      <c r="F8" s="84">
        <v>3841000</v>
      </c>
      <c r="G8" s="92">
        <v>3841000</v>
      </c>
      <c r="H8" s="232">
        <v>27195</v>
      </c>
      <c r="I8" s="230">
        <v>3813805</v>
      </c>
      <c r="J8" s="254">
        <v>3813805</v>
      </c>
      <c r="K8" s="85">
        <v>5.21</v>
      </c>
      <c r="M8" s="165">
        <f>SUM(C32:C40)</f>
        <v>2926.42</v>
      </c>
      <c r="O8" s="164"/>
    </row>
    <row r="9" spans="1:15">
      <c r="A9" s="304">
        <v>3</v>
      </c>
      <c r="B9" s="86" t="s">
        <v>129</v>
      </c>
      <c r="C9" s="93">
        <v>205.54</v>
      </c>
      <c r="D9" s="94" t="s">
        <v>175</v>
      </c>
      <c r="E9" s="95"/>
      <c r="F9" s="84">
        <v>4473699</v>
      </c>
      <c r="G9" s="357">
        <v>9265607</v>
      </c>
      <c r="H9" s="243">
        <v>40028</v>
      </c>
      <c r="I9" s="244">
        <v>4433671</v>
      </c>
      <c r="J9" s="307">
        <v>9225579</v>
      </c>
      <c r="K9" s="85">
        <v>21.77</v>
      </c>
      <c r="M9" s="165">
        <f>SUM(C43:C53)</f>
        <v>3798.4100000000003</v>
      </c>
      <c r="O9" s="164"/>
    </row>
    <row r="10" spans="1:15" ht="15.75">
      <c r="A10" s="299"/>
      <c r="B10" s="86" t="s">
        <v>130</v>
      </c>
      <c r="C10" s="93">
        <v>218.17</v>
      </c>
      <c r="D10" s="97"/>
      <c r="E10" s="98"/>
      <c r="F10" s="84">
        <v>4791908</v>
      </c>
      <c r="G10" s="358"/>
      <c r="H10" s="245">
        <v>0</v>
      </c>
      <c r="I10" s="231">
        <v>4791908</v>
      </c>
      <c r="J10" s="359"/>
      <c r="K10" s="85">
        <v>21.96</v>
      </c>
      <c r="M10" s="166">
        <f>SUM(M6:M9)</f>
        <v>14600.45</v>
      </c>
      <c r="O10" s="164"/>
    </row>
    <row r="11" spans="1:15">
      <c r="A11" s="304">
        <v>4</v>
      </c>
      <c r="B11" s="86" t="s">
        <v>131</v>
      </c>
      <c r="C11" s="93">
        <v>643.92999999999995</v>
      </c>
      <c r="D11" s="99"/>
      <c r="E11" s="100"/>
      <c r="F11" s="101">
        <v>518476</v>
      </c>
      <c r="G11" s="345">
        <v>907425</v>
      </c>
      <c r="H11" s="360">
        <v>10490</v>
      </c>
      <c r="I11" s="231">
        <v>507986</v>
      </c>
      <c r="J11" s="317">
        <v>896935</v>
      </c>
      <c r="K11" s="85">
        <v>0.81</v>
      </c>
    </row>
    <row r="12" spans="1:15">
      <c r="A12" s="299"/>
      <c r="B12" s="86" t="s">
        <v>132</v>
      </c>
      <c r="C12" s="93">
        <v>517.27</v>
      </c>
      <c r="D12" s="102"/>
      <c r="E12" s="103"/>
      <c r="F12" s="101">
        <v>388949</v>
      </c>
      <c r="G12" s="354"/>
      <c r="H12" s="361"/>
      <c r="I12" s="231">
        <v>388949</v>
      </c>
      <c r="J12" s="303"/>
      <c r="K12" s="85">
        <v>0.75</v>
      </c>
      <c r="M12" s="13"/>
    </row>
    <row r="13" spans="1:15">
      <c r="A13" s="304">
        <v>5</v>
      </c>
      <c r="B13" s="86" t="s">
        <v>133</v>
      </c>
      <c r="C13" s="104">
        <v>355.17</v>
      </c>
      <c r="D13" s="105">
        <v>6826679</v>
      </c>
      <c r="E13" s="105">
        <v>6895402</v>
      </c>
      <c r="F13" s="84">
        <v>68723</v>
      </c>
      <c r="G13" s="345">
        <v>122981</v>
      </c>
      <c r="H13" s="363">
        <v>841</v>
      </c>
      <c r="I13" s="231">
        <v>67882</v>
      </c>
      <c r="J13" s="317">
        <v>122140</v>
      </c>
      <c r="K13" s="85">
        <v>0.19</v>
      </c>
    </row>
    <row r="14" spans="1:15">
      <c r="A14" s="299"/>
      <c r="B14" s="86" t="s">
        <v>134</v>
      </c>
      <c r="C14" s="104">
        <v>315.31</v>
      </c>
      <c r="D14" s="105">
        <v>6537895</v>
      </c>
      <c r="E14" s="105">
        <v>6592153</v>
      </c>
      <c r="F14" s="84">
        <v>54258</v>
      </c>
      <c r="G14" s="354"/>
      <c r="H14" s="364"/>
      <c r="I14" s="231">
        <v>54258</v>
      </c>
      <c r="J14" s="303"/>
      <c r="K14" s="85">
        <v>0.17</v>
      </c>
    </row>
    <row r="15" spans="1:15" ht="15.75" thickBot="1">
      <c r="A15" s="106">
        <v>6</v>
      </c>
      <c r="B15" s="107" t="s">
        <v>135</v>
      </c>
      <c r="C15" s="108">
        <v>0</v>
      </c>
      <c r="D15" s="366">
        <v>49338089</v>
      </c>
      <c r="E15" s="367">
        <v>49338089</v>
      </c>
      <c r="F15" s="219">
        <v>0</v>
      </c>
      <c r="G15" s="223">
        <v>0</v>
      </c>
      <c r="H15" s="234">
        <v>9589</v>
      </c>
      <c r="I15" s="235">
        <v>0</v>
      </c>
      <c r="J15" s="255">
        <v>0</v>
      </c>
      <c r="K15" s="109">
        <v>0</v>
      </c>
    </row>
    <row r="16" spans="1:15" ht="16.5" thickTop="1" thickBot="1">
      <c r="A16" s="318" t="s">
        <v>136</v>
      </c>
      <c r="B16" s="319"/>
      <c r="C16" s="319"/>
      <c r="D16" s="319"/>
      <c r="E16" s="320"/>
      <c r="F16" s="110">
        <v>24620013</v>
      </c>
      <c r="G16" s="110">
        <v>24620013</v>
      </c>
      <c r="H16" s="110">
        <v>131223</v>
      </c>
      <c r="I16" s="110">
        <v>24498379</v>
      </c>
      <c r="J16" s="110">
        <v>24498379</v>
      </c>
      <c r="K16" s="111">
        <v>132</v>
      </c>
    </row>
    <row r="17" spans="1:11" ht="15.75" thickTop="1">
      <c r="A17" s="295" t="s">
        <v>137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7"/>
    </row>
    <row r="18" spans="1:11">
      <c r="A18" s="217">
        <v>7</v>
      </c>
      <c r="B18" s="112" t="s">
        <v>138</v>
      </c>
      <c r="C18" s="113">
        <v>188.35</v>
      </c>
      <c r="D18" s="114">
        <v>57400000</v>
      </c>
      <c r="E18" s="91">
        <v>59000000</v>
      </c>
      <c r="F18" s="84">
        <v>1600000</v>
      </c>
      <c r="G18" s="223">
        <v>1600000</v>
      </c>
      <c r="H18" s="115">
        <v>15488</v>
      </c>
      <c r="I18" s="233">
        <v>1584512</v>
      </c>
      <c r="J18" s="246">
        <v>1584512</v>
      </c>
      <c r="K18" s="85">
        <v>8.49</v>
      </c>
    </row>
    <row r="19" spans="1:11">
      <c r="A19" s="89">
        <v>8</v>
      </c>
      <c r="B19" s="116" t="s">
        <v>139</v>
      </c>
      <c r="C19" s="113">
        <v>728.34</v>
      </c>
      <c r="D19" s="94">
        <v>780892600</v>
      </c>
      <c r="E19" s="95">
        <v>786126100</v>
      </c>
      <c r="F19" s="219">
        <v>5233500</v>
      </c>
      <c r="G19" s="223">
        <v>5233500</v>
      </c>
      <c r="H19" s="234">
        <v>2770</v>
      </c>
      <c r="I19" s="235">
        <v>5230730</v>
      </c>
      <c r="J19" s="237">
        <v>5230730</v>
      </c>
      <c r="K19" s="109">
        <v>7.19</v>
      </c>
    </row>
    <row r="20" spans="1:11">
      <c r="A20" s="89"/>
      <c r="B20" s="116"/>
      <c r="C20" s="269"/>
      <c r="D20" s="121"/>
      <c r="E20" s="121"/>
      <c r="F20" s="219"/>
      <c r="G20" s="223"/>
      <c r="H20" s="268"/>
      <c r="I20" s="235"/>
      <c r="J20" s="237"/>
      <c r="K20" s="109"/>
    </row>
    <row r="21" spans="1:11">
      <c r="A21" s="89">
        <v>9</v>
      </c>
      <c r="B21" s="116" t="s">
        <v>140</v>
      </c>
      <c r="C21" s="82">
        <v>741.65</v>
      </c>
      <c r="D21" s="248">
        <v>685134066</v>
      </c>
      <c r="E21" s="248">
        <v>690104066</v>
      </c>
      <c r="F21" s="84">
        <v>4970000</v>
      </c>
      <c r="G21" s="223">
        <v>4970000</v>
      </c>
      <c r="H21" s="236">
        <v>6518</v>
      </c>
      <c r="I21" s="235">
        <v>4963482</v>
      </c>
      <c r="J21" s="237">
        <v>4963482</v>
      </c>
      <c r="K21" s="109">
        <v>6.7</v>
      </c>
    </row>
    <row r="22" spans="1:11">
      <c r="A22" s="325">
        <v>10</v>
      </c>
      <c r="B22" s="116" t="s">
        <v>141</v>
      </c>
      <c r="C22" s="93">
        <v>672.58</v>
      </c>
      <c r="D22" s="256">
        <v>639216000</v>
      </c>
      <c r="E22" s="256">
        <v>647033500</v>
      </c>
      <c r="F22" s="84">
        <v>7817500</v>
      </c>
      <c r="G22" s="314">
        <v>15307500</v>
      </c>
      <c r="H22" s="327">
        <v>78455</v>
      </c>
      <c r="I22" s="249">
        <v>7739045</v>
      </c>
      <c r="J22" s="329">
        <v>15229045</v>
      </c>
      <c r="K22" s="85">
        <v>11.62</v>
      </c>
    </row>
    <row r="23" spans="1:11">
      <c r="A23" s="326"/>
      <c r="B23" s="116" t="s">
        <v>142</v>
      </c>
      <c r="C23" s="118">
        <v>617.94000000000005</v>
      </c>
      <c r="D23" s="253">
        <v>529427000</v>
      </c>
      <c r="E23" s="253">
        <v>536917000</v>
      </c>
      <c r="F23" s="88">
        <v>7490000</v>
      </c>
      <c r="G23" s="301"/>
      <c r="H23" s="328"/>
      <c r="I23" s="235">
        <v>7490000</v>
      </c>
      <c r="J23" s="330"/>
      <c r="K23" s="85">
        <v>12.12</v>
      </c>
    </row>
    <row r="24" spans="1:11">
      <c r="A24" s="89">
        <v>11</v>
      </c>
      <c r="B24" s="116" t="s">
        <v>143</v>
      </c>
      <c r="C24" s="93">
        <v>247.89</v>
      </c>
      <c r="D24" s="97">
        <v>11265071</v>
      </c>
      <c r="E24" s="98">
        <v>11377393</v>
      </c>
      <c r="F24" s="84">
        <v>112322</v>
      </c>
      <c r="G24" s="223">
        <v>112322</v>
      </c>
      <c r="H24" s="231">
        <v>2802</v>
      </c>
      <c r="I24" s="257">
        <v>109520</v>
      </c>
      <c r="J24" s="255">
        <v>109520</v>
      </c>
      <c r="K24" s="85">
        <v>0.45</v>
      </c>
    </row>
    <row r="25" spans="1:11">
      <c r="A25" s="325">
        <v>12</v>
      </c>
      <c r="B25" s="119" t="s">
        <v>144</v>
      </c>
      <c r="C25" s="120">
        <v>438.06</v>
      </c>
      <c r="D25" s="97"/>
      <c r="E25" s="121"/>
      <c r="F25" s="122">
        <v>99881</v>
      </c>
      <c r="G25" s="331">
        <v>147972</v>
      </c>
      <c r="H25" s="333">
        <v>2008</v>
      </c>
      <c r="I25" s="231">
        <v>99881</v>
      </c>
      <c r="J25" s="375">
        <v>145964</v>
      </c>
      <c r="K25" s="85">
        <v>0.23</v>
      </c>
    </row>
    <row r="26" spans="1:11">
      <c r="A26" s="326"/>
      <c r="B26" s="119" t="s">
        <v>145</v>
      </c>
      <c r="C26" s="120">
        <v>238.23</v>
      </c>
      <c r="D26" s="97"/>
      <c r="E26" s="121"/>
      <c r="F26" s="122">
        <v>48091</v>
      </c>
      <c r="G26" s="332"/>
      <c r="H26" s="334"/>
      <c r="I26" s="231">
        <v>46083</v>
      </c>
      <c r="J26" s="376"/>
      <c r="K26" s="85">
        <v>0.2</v>
      </c>
    </row>
    <row r="27" spans="1:11">
      <c r="A27" s="106">
        <v>13</v>
      </c>
      <c r="B27" s="123" t="s">
        <v>146</v>
      </c>
      <c r="C27" s="104">
        <v>58.44</v>
      </c>
      <c r="D27" s="97"/>
      <c r="E27" s="98"/>
      <c r="F27" s="124">
        <v>11716</v>
      </c>
      <c r="G27" s="125">
        <v>11716</v>
      </c>
      <c r="H27" s="250">
        <v>3241</v>
      </c>
      <c r="I27" s="233">
        <v>8475</v>
      </c>
      <c r="J27" s="258">
        <v>8475</v>
      </c>
      <c r="K27" s="85">
        <v>0.2</v>
      </c>
    </row>
    <row r="28" spans="1:11">
      <c r="A28" s="304">
        <v>14</v>
      </c>
      <c r="B28" s="126" t="s">
        <v>147</v>
      </c>
      <c r="C28" s="82">
        <v>379.6</v>
      </c>
      <c r="D28" s="127">
        <v>12558200</v>
      </c>
      <c r="E28" s="127">
        <v>18491900</v>
      </c>
      <c r="F28" s="101">
        <v>5933700</v>
      </c>
      <c r="G28" s="309">
        <v>12254800</v>
      </c>
      <c r="H28" s="250">
        <v>84320</v>
      </c>
      <c r="I28" s="234">
        <v>5849380</v>
      </c>
      <c r="J28" s="338">
        <v>12170480</v>
      </c>
      <c r="K28" s="128">
        <v>15.63</v>
      </c>
    </row>
    <row r="29" spans="1:11" ht="15.75" thickBot="1">
      <c r="A29" s="299"/>
      <c r="B29" s="129" t="s">
        <v>148</v>
      </c>
      <c r="C29" s="93">
        <v>313.8</v>
      </c>
      <c r="D29" s="101">
        <v>54115800</v>
      </c>
      <c r="E29" s="101">
        <v>60436900</v>
      </c>
      <c r="F29" s="101">
        <v>6321100</v>
      </c>
      <c r="G29" s="377"/>
      <c r="H29" s="239">
        <v>0</v>
      </c>
      <c r="I29" s="240">
        <v>6321100</v>
      </c>
      <c r="J29" s="339"/>
      <c r="K29" s="128">
        <v>20.14</v>
      </c>
    </row>
    <row r="30" spans="1:11" ht="16.5" thickTop="1" thickBot="1">
      <c r="A30" s="318" t="s">
        <v>149</v>
      </c>
      <c r="B30" s="319"/>
      <c r="C30" s="319"/>
      <c r="D30" s="319"/>
      <c r="E30" s="320"/>
      <c r="F30" s="110">
        <v>39637810</v>
      </c>
      <c r="G30" s="110">
        <v>39637810</v>
      </c>
      <c r="H30" s="110">
        <v>195602</v>
      </c>
      <c r="I30" s="110">
        <v>39442208</v>
      </c>
      <c r="J30" s="110">
        <v>39442208</v>
      </c>
      <c r="K30" s="111">
        <v>83</v>
      </c>
    </row>
    <row r="31" spans="1:11" ht="15.75" thickTop="1">
      <c r="A31" s="321" t="s">
        <v>150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11">
      <c r="A32" s="298">
        <v>15</v>
      </c>
      <c r="B32" s="130" t="s">
        <v>151</v>
      </c>
      <c r="C32" s="131">
        <v>175.54</v>
      </c>
      <c r="D32" s="132">
        <v>3987641666</v>
      </c>
      <c r="E32" s="132">
        <v>3991601833</v>
      </c>
      <c r="F32" s="101">
        <v>3960167</v>
      </c>
      <c r="G32" s="379">
        <v>4537567</v>
      </c>
      <c r="H32" s="133">
        <v>19280</v>
      </c>
      <c r="I32" s="134">
        <v>3940887</v>
      </c>
      <c r="J32" s="340">
        <v>4518287</v>
      </c>
      <c r="K32" s="135">
        <v>22.56</v>
      </c>
    </row>
    <row r="33" spans="1:11">
      <c r="A33" s="299"/>
      <c r="B33" s="130" t="s">
        <v>152</v>
      </c>
      <c r="C33" s="136">
        <v>31.55</v>
      </c>
      <c r="D33" s="137">
        <v>790446400</v>
      </c>
      <c r="E33" s="137">
        <v>791023800</v>
      </c>
      <c r="F33" s="84">
        <v>577400</v>
      </c>
      <c r="G33" s="310"/>
      <c r="H33" s="101">
        <v>0</v>
      </c>
      <c r="I33" s="134">
        <v>577400</v>
      </c>
      <c r="J33" s="341"/>
      <c r="K33" s="138">
        <v>18.3</v>
      </c>
    </row>
    <row r="34" spans="1:11">
      <c r="A34" s="304">
        <v>16</v>
      </c>
      <c r="B34" s="139" t="s">
        <v>153</v>
      </c>
      <c r="C34" s="206">
        <v>408.71</v>
      </c>
      <c r="D34" s="140">
        <v>2699834858</v>
      </c>
      <c r="E34" s="140">
        <v>2717879989</v>
      </c>
      <c r="F34" s="84">
        <v>18045131</v>
      </c>
      <c r="G34" s="309">
        <v>22579560</v>
      </c>
      <c r="H34" s="141">
        <v>0</v>
      </c>
      <c r="I34" s="238">
        <v>18045131</v>
      </c>
      <c r="J34" s="342">
        <v>22375340</v>
      </c>
      <c r="K34" s="138">
        <v>44.15</v>
      </c>
    </row>
    <row r="35" spans="1:11">
      <c r="A35" s="299"/>
      <c r="B35" s="130" t="s">
        <v>154</v>
      </c>
      <c r="C35" s="206">
        <v>113.27</v>
      </c>
      <c r="D35" s="105">
        <v>2584575748</v>
      </c>
      <c r="E35" s="105">
        <v>2589110177</v>
      </c>
      <c r="F35" s="88">
        <v>4534429</v>
      </c>
      <c r="G35" s="310"/>
      <c r="H35" s="141">
        <v>204220</v>
      </c>
      <c r="I35" s="238">
        <v>4330209</v>
      </c>
      <c r="J35" s="341"/>
      <c r="K35" s="138">
        <v>40.03</v>
      </c>
    </row>
    <row r="36" spans="1:11">
      <c r="A36" s="304">
        <v>17</v>
      </c>
      <c r="B36" s="130" t="s">
        <v>155</v>
      </c>
      <c r="C36" s="206">
        <v>352.05</v>
      </c>
      <c r="D36" s="190">
        <v>632710016</v>
      </c>
      <c r="E36" s="190">
        <v>641937344</v>
      </c>
      <c r="F36" s="84">
        <v>9227328</v>
      </c>
      <c r="G36" s="309">
        <v>22188672</v>
      </c>
      <c r="H36" s="101">
        <v>106600</v>
      </c>
      <c r="I36" s="134">
        <v>9120728</v>
      </c>
      <c r="J36" s="342">
        <v>22082072</v>
      </c>
      <c r="K36" s="138">
        <v>26.21</v>
      </c>
    </row>
    <row r="37" spans="1:11">
      <c r="A37" s="299"/>
      <c r="B37" s="139" t="s">
        <v>156</v>
      </c>
      <c r="C37" s="82">
        <v>485.48</v>
      </c>
      <c r="D37" s="143">
        <v>849831296</v>
      </c>
      <c r="E37" s="143">
        <v>862792640</v>
      </c>
      <c r="F37" s="84">
        <v>12961344</v>
      </c>
      <c r="G37" s="310"/>
      <c r="H37" s="144">
        <v>0</v>
      </c>
      <c r="I37" s="134">
        <v>12961344</v>
      </c>
      <c r="J37" s="341"/>
      <c r="K37" s="138">
        <v>26.7</v>
      </c>
    </row>
    <row r="38" spans="1:11">
      <c r="A38" s="145">
        <v>18</v>
      </c>
      <c r="B38" s="130" t="s">
        <v>157</v>
      </c>
      <c r="C38" s="82">
        <v>701.31</v>
      </c>
      <c r="D38" s="146"/>
      <c r="E38" s="147"/>
      <c r="F38" s="148">
        <v>98269</v>
      </c>
      <c r="G38" s="220">
        <v>98269</v>
      </c>
      <c r="H38" s="220">
        <v>2177</v>
      </c>
      <c r="I38" s="219">
        <v>96092</v>
      </c>
      <c r="J38" s="134">
        <v>96092</v>
      </c>
      <c r="K38" s="138">
        <v>0.14000000000000001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20">
        <v>0</v>
      </c>
      <c r="H39" s="219">
        <v>584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658.51</v>
      </c>
      <c r="D40" s="151">
        <v>39839914</v>
      </c>
      <c r="E40" s="152">
        <v>40154570</v>
      </c>
      <c r="F40" s="84">
        <v>314656</v>
      </c>
      <c r="G40" s="219">
        <v>314656</v>
      </c>
      <c r="H40" s="84">
        <v>7077</v>
      </c>
      <c r="I40" s="219">
        <v>307579</v>
      </c>
      <c r="J40" s="234">
        <v>307579</v>
      </c>
      <c r="K40" s="138">
        <v>0.48</v>
      </c>
    </row>
    <row r="41" spans="1:11" ht="16.5" thickTop="1" thickBot="1">
      <c r="A41" s="318" t="s">
        <v>160</v>
      </c>
      <c r="B41" s="319"/>
      <c r="C41" s="319"/>
      <c r="D41" s="319"/>
      <c r="E41" s="320"/>
      <c r="F41" s="110">
        <v>49718724</v>
      </c>
      <c r="G41" s="110">
        <v>49718724</v>
      </c>
      <c r="H41" s="110">
        <v>339938</v>
      </c>
      <c r="I41" s="110">
        <v>49379370</v>
      </c>
      <c r="J41" s="110">
        <v>49379370</v>
      </c>
      <c r="K41" s="111">
        <v>179</v>
      </c>
    </row>
    <row r="42" spans="1:11" ht="15.75" thickTop="1">
      <c r="A42" s="321" t="s">
        <v>161</v>
      </c>
      <c r="B42" s="322"/>
      <c r="C42" s="322"/>
      <c r="D42" s="322"/>
      <c r="E42" s="322"/>
      <c r="F42" s="322"/>
      <c r="G42" s="322"/>
      <c r="H42" s="322"/>
      <c r="I42" s="322"/>
      <c r="J42" s="322"/>
      <c r="K42" s="323"/>
    </row>
    <row r="43" spans="1:11">
      <c r="A43" s="217">
        <v>21</v>
      </c>
      <c r="B43" s="153" t="s">
        <v>162</v>
      </c>
      <c r="C43" s="136">
        <v>706.34</v>
      </c>
      <c r="D43" s="154">
        <v>889292218</v>
      </c>
      <c r="E43" s="154">
        <v>895862625</v>
      </c>
      <c r="F43" s="84">
        <v>6570407</v>
      </c>
      <c r="G43" s="219">
        <v>6570407</v>
      </c>
      <c r="H43" s="219">
        <v>12378</v>
      </c>
      <c r="I43" s="219">
        <v>6558029</v>
      </c>
      <c r="J43" s="134">
        <v>6558029</v>
      </c>
      <c r="K43" s="150">
        <v>9.3000000000000007</v>
      </c>
    </row>
    <row r="44" spans="1:11">
      <c r="A44" s="89">
        <v>22</v>
      </c>
      <c r="B44" s="155" t="s">
        <v>163</v>
      </c>
      <c r="C44" s="156">
        <v>464.38</v>
      </c>
      <c r="D44" s="157">
        <v>671623500</v>
      </c>
      <c r="E44" s="157">
        <v>673371600</v>
      </c>
      <c r="F44" s="84">
        <v>1748100</v>
      </c>
      <c r="G44" s="84">
        <v>1748100</v>
      </c>
      <c r="H44" s="84">
        <v>11374</v>
      </c>
      <c r="I44" s="219">
        <v>1736726</v>
      </c>
      <c r="J44" s="92">
        <v>1736726</v>
      </c>
      <c r="K44" s="150">
        <v>3.76</v>
      </c>
    </row>
    <row r="45" spans="1:11">
      <c r="A45" s="218">
        <v>23</v>
      </c>
      <c r="B45" s="130" t="s">
        <v>164</v>
      </c>
      <c r="C45" s="156">
        <v>735.4</v>
      </c>
      <c r="D45" s="213">
        <v>428093687</v>
      </c>
      <c r="E45" s="213">
        <v>429334513</v>
      </c>
      <c r="F45" s="84">
        <v>1240826</v>
      </c>
      <c r="G45" s="84">
        <v>1240826</v>
      </c>
      <c r="H45" s="84">
        <v>8921</v>
      </c>
      <c r="I45" s="84">
        <v>1231905</v>
      </c>
      <c r="J45" s="92">
        <v>1231905</v>
      </c>
      <c r="K45" s="150">
        <v>1.69</v>
      </c>
    </row>
    <row r="46" spans="1:11">
      <c r="A46" s="304">
        <v>24</v>
      </c>
      <c r="B46" s="158" t="s">
        <v>165</v>
      </c>
      <c r="C46" s="156">
        <v>395.55</v>
      </c>
      <c r="D46" s="157">
        <v>377693400</v>
      </c>
      <c r="E46" s="157">
        <v>379150200</v>
      </c>
      <c r="F46" s="84">
        <v>1456800</v>
      </c>
      <c r="G46" s="309">
        <v>2778600</v>
      </c>
      <c r="H46" s="305">
        <v>13045</v>
      </c>
      <c r="I46" s="101">
        <v>1443755</v>
      </c>
      <c r="J46" s="383">
        <v>2765555</v>
      </c>
      <c r="K46" s="150">
        <v>3.68</v>
      </c>
    </row>
    <row r="47" spans="1:11">
      <c r="A47" s="299"/>
      <c r="B47" s="159" t="s">
        <v>166</v>
      </c>
      <c r="C47" s="156">
        <v>335.63</v>
      </c>
      <c r="D47" s="157">
        <v>477711600</v>
      </c>
      <c r="E47" s="157">
        <v>479033400</v>
      </c>
      <c r="F47" s="84">
        <v>1321800</v>
      </c>
      <c r="G47" s="310"/>
      <c r="H47" s="306"/>
      <c r="I47" s="101">
        <v>1321800</v>
      </c>
      <c r="J47" s="384"/>
      <c r="K47" s="150">
        <v>3.94</v>
      </c>
    </row>
    <row r="48" spans="1:11">
      <c r="A48" s="304">
        <v>25</v>
      </c>
      <c r="B48" s="160" t="s">
        <v>167</v>
      </c>
      <c r="C48" s="156">
        <v>256.19</v>
      </c>
      <c r="D48" s="157">
        <v>9884182</v>
      </c>
      <c r="E48" s="157">
        <v>10115795</v>
      </c>
      <c r="F48" s="84">
        <v>231613</v>
      </c>
      <c r="G48" s="309">
        <v>486547</v>
      </c>
      <c r="H48" s="221">
        <v>14900</v>
      </c>
      <c r="I48" s="101">
        <v>216713</v>
      </c>
      <c r="J48" s="383">
        <v>471647</v>
      </c>
      <c r="K48" s="150">
        <v>0.9</v>
      </c>
    </row>
    <row r="49" spans="1:11">
      <c r="A49" s="299">
        <v>21</v>
      </c>
      <c r="B49" s="126" t="s">
        <v>168</v>
      </c>
      <c r="C49" s="156">
        <v>275.91000000000003</v>
      </c>
      <c r="D49" s="157">
        <v>2589002</v>
      </c>
      <c r="E49" s="157">
        <v>2843936</v>
      </c>
      <c r="F49" s="84">
        <v>254934</v>
      </c>
      <c r="G49" s="310"/>
      <c r="H49" s="242">
        <v>0</v>
      </c>
      <c r="I49" s="222">
        <v>254934</v>
      </c>
      <c r="J49" s="384"/>
      <c r="K49" s="138">
        <v>0.92</v>
      </c>
    </row>
    <row r="50" spans="1:11">
      <c r="A50" s="304">
        <v>26</v>
      </c>
      <c r="B50" s="126" t="s">
        <v>169</v>
      </c>
      <c r="C50" s="156">
        <v>168.18</v>
      </c>
      <c r="D50" s="259">
        <v>887696</v>
      </c>
      <c r="E50" s="95">
        <v>1056880</v>
      </c>
      <c r="F50" s="148">
        <v>169184</v>
      </c>
      <c r="G50" s="309">
        <v>454651</v>
      </c>
      <c r="H50" s="221">
        <v>7020</v>
      </c>
      <c r="I50" s="101">
        <v>162164</v>
      </c>
      <c r="J50" s="383">
        <v>447631</v>
      </c>
      <c r="K50" s="150">
        <v>1.01</v>
      </c>
    </row>
    <row r="51" spans="1:11">
      <c r="A51" s="299">
        <v>21</v>
      </c>
      <c r="B51" s="161" t="s">
        <v>170</v>
      </c>
      <c r="C51" s="156">
        <v>262.8</v>
      </c>
      <c r="D51" s="162">
        <v>838936</v>
      </c>
      <c r="E51" s="152">
        <v>1124403</v>
      </c>
      <c r="F51" s="148">
        <v>285467</v>
      </c>
      <c r="G51" s="310"/>
      <c r="H51" s="84">
        <v>0</v>
      </c>
      <c r="I51" s="101">
        <v>285467</v>
      </c>
      <c r="J51" s="384"/>
      <c r="K51" s="150">
        <v>1.0900000000000001</v>
      </c>
    </row>
    <row r="52" spans="1:11">
      <c r="A52" s="343">
        <v>27</v>
      </c>
      <c r="B52" s="126" t="s">
        <v>103</v>
      </c>
      <c r="C52" s="93">
        <v>103.53</v>
      </c>
      <c r="D52" s="127">
        <v>570050432</v>
      </c>
      <c r="E52" s="127">
        <v>573671936</v>
      </c>
      <c r="F52" s="84">
        <v>3621504</v>
      </c>
      <c r="G52" s="314">
        <v>6875840</v>
      </c>
      <c r="H52" s="251">
        <v>115407</v>
      </c>
      <c r="I52" s="231">
        <v>3506097</v>
      </c>
      <c r="J52" s="345">
        <v>6760433</v>
      </c>
      <c r="K52" s="138">
        <v>34.979999999999997</v>
      </c>
    </row>
    <row r="53" spans="1:11" ht="15.75" thickBot="1">
      <c r="A53" s="344"/>
      <c r="B53" s="107" t="s">
        <v>104</v>
      </c>
      <c r="C53" s="163">
        <v>94.5</v>
      </c>
      <c r="D53" s="84">
        <v>595759232</v>
      </c>
      <c r="E53" s="84">
        <v>599013568</v>
      </c>
      <c r="F53" s="84">
        <v>3254336</v>
      </c>
      <c r="G53" s="337"/>
      <c r="H53" s="242">
        <v>0</v>
      </c>
      <c r="I53" s="252">
        <v>3254336</v>
      </c>
      <c r="J53" s="354"/>
      <c r="K53" s="138">
        <v>34.44</v>
      </c>
    </row>
    <row r="54" spans="1:11" ht="16.5" thickTop="1" thickBot="1">
      <c r="A54" s="347" t="s">
        <v>171</v>
      </c>
      <c r="B54" s="348"/>
      <c r="C54" s="348"/>
      <c r="D54" s="348"/>
      <c r="E54" s="349"/>
      <c r="F54" s="110">
        <v>20154971</v>
      </c>
      <c r="G54" s="110">
        <v>20154971</v>
      </c>
      <c r="H54" s="110">
        <v>183045</v>
      </c>
      <c r="I54" s="110">
        <v>19971926</v>
      </c>
      <c r="J54" s="110">
        <v>19971926</v>
      </c>
      <c r="K54" s="111">
        <v>96</v>
      </c>
    </row>
    <row r="55" spans="1:11" ht="17.25" thickTop="1" thickBot="1">
      <c r="A55" s="350" t="s">
        <v>172</v>
      </c>
      <c r="B55" s="351"/>
      <c r="C55" s="351"/>
      <c r="D55" s="351"/>
      <c r="E55" s="352"/>
      <c r="F55" s="110">
        <v>134131518</v>
      </c>
      <c r="G55" s="110">
        <v>134131518</v>
      </c>
      <c r="H55" s="110">
        <v>849808</v>
      </c>
      <c r="I55" s="110">
        <v>133291883</v>
      </c>
      <c r="J55" s="110">
        <v>133291883</v>
      </c>
      <c r="K55" s="111">
        <v>490</v>
      </c>
    </row>
    <row r="57" spans="1:11">
      <c r="F57" s="202">
        <f>+F55+Feb!F55+Ene!F55</f>
        <v>343206155</v>
      </c>
    </row>
  </sheetData>
  <mergeCells count="63">
    <mergeCell ref="A52:A53"/>
    <mergeCell ref="G52:G53"/>
    <mergeCell ref="J52:J53"/>
    <mergeCell ref="A54:E54"/>
    <mergeCell ref="A55:E55"/>
    <mergeCell ref="A50:A51"/>
    <mergeCell ref="G50:G51"/>
    <mergeCell ref="J50:J51"/>
    <mergeCell ref="A46:A47"/>
    <mergeCell ref="G46:G47"/>
    <mergeCell ref="H46:H47"/>
    <mergeCell ref="J46:J47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30:E30"/>
    <mergeCell ref="A31:K31"/>
    <mergeCell ref="D15:E15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11:A12"/>
    <mergeCell ref="G11:G12"/>
    <mergeCell ref="H11:H12"/>
    <mergeCell ref="J11:J12"/>
    <mergeCell ref="A13:A14"/>
    <mergeCell ref="G13:G14"/>
    <mergeCell ref="H13:H14"/>
    <mergeCell ref="J13:J14"/>
    <mergeCell ref="A5:K5"/>
    <mergeCell ref="A6:A7"/>
    <mergeCell ref="G6:G7"/>
    <mergeCell ref="J6:J7"/>
    <mergeCell ref="A9:A10"/>
    <mergeCell ref="G9:G10"/>
    <mergeCell ref="J9:J10"/>
    <mergeCell ref="A1:A4"/>
    <mergeCell ref="B1:B4"/>
    <mergeCell ref="D1:E2"/>
    <mergeCell ref="K1:K3"/>
    <mergeCell ref="D3:D4"/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5"/>
  <sheetViews>
    <sheetView workbookViewId="0">
      <selection activeCell="E51" sqref="E51"/>
    </sheetView>
  </sheetViews>
  <sheetFormatPr baseColWidth="10" defaultRowHeight="15"/>
  <sheetData>
    <row r="1" spans="1:13" ht="15" customHeight="1">
      <c r="A1" s="281" t="s">
        <v>1</v>
      </c>
      <c r="B1" s="284" t="s">
        <v>108</v>
      </c>
      <c r="C1" s="71"/>
      <c r="D1" s="287" t="s">
        <v>109</v>
      </c>
      <c r="E1" s="288"/>
      <c r="F1" s="72"/>
      <c r="G1" s="73" t="s">
        <v>110</v>
      </c>
      <c r="H1" s="209" t="s">
        <v>111</v>
      </c>
      <c r="I1" s="209"/>
      <c r="J1" s="74" t="s">
        <v>110</v>
      </c>
      <c r="K1" s="291" t="s">
        <v>112</v>
      </c>
    </row>
    <row r="2" spans="1:13">
      <c r="A2" s="282"/>
      <c r="B2" s="285"/>
      <c r="C2" s="210" t="s">
        <v>113</v>
      </c>
      <c r="D2" s="289"/>
      <c r="E2" s="290"/>
      <c r="F2" s="210" t="s">
        <v>114</v>
      </c>
      <c r="G2" s="75" t="s">
        <v>115</v>
      </c>
      <c r="H2" s="210" t="s">
        <v>116</v>
      </c>
      <c r="I2" s="210" t="s">
        <v>114</v>
      </c>
      <c r="J2" s="75" t="s">
        <v>117</v>
      </c>
      <c r="K2" s="292"/>
    </row>
    <row r="3" spans="1:13">
      <c r="A3" s="282"/>
      <c r="B3" s="285"/>
      <c r="C3" s="76" t="s">
        <v>118</v>
      </c>
      <c r="D3" s="293" t="s">
        <v>119</v>
      </c>
      <c r="E3" s="293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292"/>
    </row>
    <row r="4" spans="1:13">
      <c r="A4" s="283"/>
      <c r="B4" s="286"/>
      <c r="C4" s="79"/>
      <c r="D4" s="294"/>
      <c r="E4" s="294"/>
      <c r="F4" s="212" t="s">
        <v>124</v>
      </c>
      <c r="G4" s="211" t="s">
        <v>124</v>
      </c>
      <c r="H4" s="211" t="s">
        <v>124</v>
      </c>
      <c r="I4" s="211" t="s">
        <v>124</v>
      </c>
      <c r="J4" s="211" t="s">
        <v>124</v>
      </c>
      <c r="K4" s="80" t="s">
        <v>125</v>
      </c>
    </row>
    <row r="5" spans="1:13">
      <c r="A5" s="295" t="s">
        <v>126</v>
      </c>
      <c r="B5" s="296"/>
      <c r="C5" s="296"/>
      <c r="D5" s="296"/>
      <c r="E5" s="296"/>
      <c r="F5" s="296"/>
      <c r="G5" s="296"/>
      <c r="H5" s="296"/>
      <c r="I5" s="296"/>
      <c r="J5" s="296"/>
      <c r="K5" s="297"/>
      <c r="M5" t="s">
        <v>173</v>
      </c>
    </row>
    <row r="6" spans="1:13">
      <c r="A6" s="298">
        <v>1</v>
      </c>
      <c r="B6" s="81" t="s">
        <v>178</v>
      </c>
      <c r="C6" s="82">
        <v>161.25</v>
      </c>
      <c r="D6" s="83">
        <v>33843545</v>
      </c>
      <c r="E6" s="83">
        <v>40748155</v>
      </c>
      <c r="F6" s="84">
        <v>6904610</v>
      </c>
      <c r="G6" s="300">
        <v>15215321</v>
      </c>
      <c r="H6" s="241">
        <v>45500</v>
      </c>
      <c r="I6" s="230">
        <v>6859110</v>
      </c>
      <c r="J6" s="302">
        <v>15169821</v>
      </c>
      <c r="K6" s="85">
        <v>42.82</v>
      </c>
      <c r="M6" s="164">
        <f>SUM(C6:C15)</f>
        <v>3864.7200000000003</v>
      </c>
    </row>
    <row r="7" spans="1:13">
      <c r="A7" s="299"/>
      <c r="B7" s="86" t="s">
        <v>127</v>
      </c>
      <c r="C7" s="87">
        <v>201.87</v>
      </c>
      <c r="D7" s="105">
        <v>25160082</v>
      </c>
      <c r="E7" s="105">
        <v>33470793</v>
      </c>
      <c r="F7" s="88">
        <v>8310711</v>
      </c>
      <c r="G7" s="301"/>
      <c r="H7" s="242">
        <v>0</v>
      </c>
      <c r="I7" s="230">
        <v>8310711</v>
      </c>
      <c r="J7" s="303"/>
      <c r="K7" s="85">
        <v>41.17</v>
      </c>
      <c r="M7" s="13">
        <f>SUM(C18:C29)</f>
        <v>4780.7999999999993</v>
      </c>
    </row>
    <row r="8" spans="1:13">
      <c r="A8" s="89">
        <v>2</v>
      </c>
      <c r="B8" s="86" t="s">
        <v>128</v>
      </c>
      <c r="C8" s="90">
        <v>737.29</v>
      </c>
      <c r="D8" s="91">
        <v>1019589300</v>
      </c>
      <c r="E8" s="91">
        <v>1025567600</v>
      </c>
      <c r="F8" s="101">
        <v>5978300</v>
      </c>
      <c r="G8" s="134">
        <v>5978300</v>
      </c>
      <c r="H8" s="232">
        <v>29158</v>
      </c>
      <c r="I8" s="230">
        <v>5949142</v>
      </c>
      <c r="J8" s="279">
        <v>5949142</v>
      </c>
      <c r="K8" s="85">
        <v>8.11</v>
      </c>
      <c r="M8" s="165">
        <f>SUM(C32:C40)</f>
        <v>1909.96</v>
      </c>
    </row>
    <row r="9" spans="1:13">
      <c r="A9" s="304">
        <v>3</v>
      </c>
      <c r="B9" s="86" t="s">
        <v>129</v>
      </c>
      <c r="C9" s="270">
        <v>282.57</v>
      </c>
      <c r="D9" s="94" t="s">
        <v>175</v>
      </c>
      <c r="E9" s="95"/>
      <c r="F9" s="84">
        <v>5776564</v>
      </c>
      <c r="G9" s="305">
        <v>12100937</v>
      </c>
      <c r="H9" s="96">
        <v>51088</v>
      </c>
      <c r="I9" s="244">
        <v>5725476</v>
      </c>
      <c r="J9" s="307">
        <v>12049849</v>
      </c>
      <c r="K9" s="85">
        <v>20.440000000000001</v>
      </c>
      <c r="M9" s="165">
        <f>SUM(C43:C53)</f>
        <v>5360.3899999999994</v>
      </c>
    </row>
    <row r="10" spans="1:13" ht="15.75">
      <c r="A10" s="299"/>
      <c r="B10" s="86" t="s">
        <v>130</v>
      </c>
      <c r="C10" s="270">
        <v>309.93</v>
      </c>
      <c r="D10" s="97"/>
      <c r="E10" s="98"/>
      <c r="F10" s="84">
        <v>6324373</v>
      </c>
      <c r="G10" s="306"/>
      <c r="H10" s="245">
        <v>0</v>
      </c>
      <c r="I10" s="231">
        <v>6324373</v>
      </c>
      <c r="J10" s="359"/>
      <c r="K10" s="85">
        <v>20.41</v>
      </c>
      <c r="M10" s="166">
        <f>SUM(M6:M9)</f>
        <v>15915.869999999999</v>
      </c>
    </row>
    <row r="11" spans="1:13">
      <c r="A11" s="304">
        <v>4</v>
      </c>
      <c r="B11" s="86" t="s">
        <v>131</v>
      </c>
      <c r="C11" s="270">
        <v>740.82</v>
      </c>
      <c r="D11" s="99"/>
      <c r="E11" s="100"/>
      <c r="F11" s="101">
        <v>601504</v>
      </c>
      <c r="G11" s="314">
        <v>1201780</v>
      </c>
      <c r="H11" s="360">
        <v>12710</v>
      </c>
      <c r="I11" s="231">
        <v>588794</v>
      </c>
      <c r="J11" s="317">
        <v>1189070</v>
      </c>
      <c r="K11" s="85">
        <v>0.81</v>
      </c>
    </row>
    <row r="12" spans="1:13">
      <c r="A12" s="299"/>
      <c r="B12" s="86" t="s">
        <v>132</v>
      </c>
      <c r="C12" s="270">
        <v>739.71</v>
      </c>
      <c r="D12" s="102"/>
      <c r="E12" s="103"/>
      <c r="F12" s="101">
        <v>600276</v>
      </c>
      <c r="G12" s="301"/>
      <c r="H12" s="361"/>
      <c r="I12" s="231">
        <v>600276</v>
      </c>
      <c r="J12" s="303"/>
      <c r="K12" s="85">
        <v>0.81</v>
      </c>
    </row>
    <row r="13" spans="1:13">
      <c r="A13" s="304">
        <v>5</v>
      </c>
      <c r="B13" s="86" t="s">
        <v>133</v>
      </c>
      <c r="C13" s="104">
        <v>0</v>
      </c>
      <c r="D13" s="105">
        <v>0</v>
      </c>
      <c r="E13" s="105">
        <v>0</v>
      </c>
      <c r="F13" s="84">
        <v>0</v>
      </c>
      <c r="G13" s="314">
        <v>14714</v>
      </c>
      <c r="H13" s="385">
        <v>5943</v>
      </c>
      <c r="I13" s="231">
        <v>-5943</v>
      </c>
      <c r="J13" s="317">
        <v>8771</v>
      </c>
      <c r="K13" s="85">
        <v>0</v>
      </c>
    </row>
    <row r="14" spans="1:13">
      <c r="A14" s="299"/>
      <c r="B14" s="86" t="s">
        <v>134</v>
      </c>
      <c r="C14" s="104">
        <v>97.02</v>
      </c>
      <c r="D14" s="105">
        <v>831</v>
      </c>
      <c r="E14" s="105">
        <v>15545</v>
      </c>
      <c r="F14" s="84">
        <v>14714</v>
      </c>
      <c r="G14" s="301"/>
      <c r="H14" s="386"/>
      <c r="I14" s="271">
        <v>14714</v>
      </c>
      <c r="J14" s="303"/>
      <c r="K14" s="85">
        <v>0</v>
      </c>
    </row>
    <row r="15" spans="1:13" ht="15.75" thickBot="1">
      <c r="A15" s="106">
        <v>6</v>
      </c>
      <c r="B15" s="107" t="s">
        <v>135</v>
      </c>
      <c r="C15" s="216">
        <v>594.26</v>
      </c>
      <c r="D15" s="191">
        <v>50584675</v>
      </c>
      <c r="E15" s="191">
        <v>51334132</v>
      </c>
      <c r="F15" s="101">
        <v>749457</v>
      </c>
      <c r="G15" s="134">
        <v>749457</v>
      </c>
      <c r="H15" s="232">
        <v>13910</v>
      </c>
      <c r="I15" s="280">
        <v>735547</v>
      </c>
      <c r="J15" s="246">
        <v>735547</v>
      </c>
      <c r="K15" s="85">
        <v>1.26</v>
      </c>
    </row>
    <row r="16" spans="1:13" ht="16.5" thickTop="1" thickBot="1">
      <c r="A16" s="318" t="s">
        <v>136</v>
      </c>
      <c r="B16" s="319"/>
      <c r="C16" s="319"/>
      <c r="D16" s="319"/>
      <c r="E16" s="320"/>
      <c r="F16" s="110">
        <v>35260509</v>
      </c>
      <c r="G16" s="110">
        <v>35260509</v>
      </c>
      <c r="H16" s="110">
        <v>158309</v>
      </c>
      <c r="I16" s="110">
        <v>35102200</v>
      </c>
      <c r="J16" s="110">
        <v>35102200</v>
      </c>
      <c r="K16" s="111">
        <v>136</v>
      </c>
    </row>
    <row r="17" spans="1:11" ht="15.75" thickTop="1">
      <c r="A17" s="295" t="s">
        <v>137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7"/>
    </row>
    <row r="18" spans="1:11">
      <c r="A18" s="217">
        <v>7</v>
      </c>
      <c r="B18" s="112" t="s">
        <v>138</v>
      </c>
      <c r="C18" s="113">
        <v>284.58999999999997</v>
      </c>
      <c r="D18" s="91">
        <v>45020000</v>
      </c>
      <c r="E18" s="91">
        <v>47600000</v>
      </c>
      <c r="F18" s="84">
        <v>2580000</v>
      </c>
      <c r="G18" s="223">
        <v>2580000</v>
      </c>
      <c r="H18" s="115">
        <v>24352</v>
      </c>
      <c r="I18" s="233">
        <v>2555648</v>
      </c>
      <c r="J18" s="246">
        <v>2555648</v>
      </c>
      <c r="K18" s="85">
        <v>9.07</v>
      </c>
    </row>
    <row r="19" spans="1:11">
      <c r="A19" s="89">
        <v>8</v>
      </c>
      <c r="B19" s="116" t="s">
        <v>182</v>
      </c>
      <c r="C19" s="113">
        <v>604.29999999999995</v>
      </c>
      <c r="D19" s="192">
        <v>801553000</v>
      </c>
      <c r="E19" s="193">
        <v>805710200</v>
      </c>
      <c r="F19" s="84">
        <v>4157200</v>
      </c>
      <c r="G19" s="223">
        <v>7826025</v>
      </c>
      <c r="H19" s="272">
        <v>38069</v>
      </c>
      <c r="I19" s="235">
        <v>4119131</v>
      </c>
      <c r="J19" s="88">
        <v>7787956</v>
      </c>
      <c r="K19" s="109">
        <v>6.88</v>
      </c>
    </row>
    <row r="20" spans="1:11">
      <c r="A20" s="89"/>
      <c r="B20" s="116" t="s">
        <v>183</v>
      </c>
      <c r="C20" s="269">
        <v>736.69</v>
      </c>
      <c r="D20" s="278">
        <v>3402110</v>
      </c>
      <c r="E20" s="278">
        <v>7070935</v>
      </c>
      <c r="F20" s="84">
        <v>3668825</v>
      </c>
      <c r="G20" s="223"/>
      <c r="H20" s="268">
        <v>0</v>
      </c>
      <c r="I20" s="235">
        <v>3668825</v>
      </c>
      <c r="J20" s="88"/>
      <c r="K20" s="109">
        <v>4.9800000000000004</v>
      </c>
    </row>
    <row r="21" spans="1:11">
      <c r="A21" s="89">
        <v>9</v>
      </c>
      <c r="B21" s="116" t="s">
        <v>140</v>
      </c>
      <c r="C21" s="82">
        <v>0</v>
      </c>
      <c r="D21" s="248">
        <v>695351266</v>
      </c>
      <c r="E21" s="248">
        <v>695351266</v>
      </c>
      <c r="F21" s="84">
        <v>0</v>
      </c>
      <c r="G21" s="223">
        <v>0</v>
      </c>
      <c r="H21" s="236">
        <v>8790</v>
      </c>
      <c r="I21" s="235">
        <v>0</v>
      </c>
      <c r="J21" s="237">
        <v>0</v>
      </c>
      <c r="K21" s="109">
        <v>0</v>
      </c>
    </row>
    <row r="22" spans="1:11">
      <c r="A22" s="325">
        <v>10</v>
      </c>
      <c r="B22" s="116" t="s">
        <v>141</v>
      </c>
      <c r="C22" s="274">
        <v>618.1</v>
      </c>
      <c r="D22" s="248">
        <v>665557000</v>
      </c>
      <c r="E22" s="248">
        <v>672919500</v>
      </c>
      <c r="F22" s="84">
        <v>7362500</v>
      </c>
      <c r="G22" s="314">
        <v>15199000</v>
      </c>
      <c r="H22" s="387">
        <v>82895</v>
      </c>
      <c r="I22" s="117">
        <v>7279605</v>
      </c>
      <c r="J22" s="329">
        <v>15116105</v>
      </c>
      <c r="K22" s="85">
        <v>11.91</v>
      </c>
    </row>
    <row r="23" spans="1:11">
      <c r="A23" s="326"/>
      <c r="B23" s="116" t="s">
        <v>142</v>
      </c>
      <c r="C23" s="273">
        <v>652.55999999999995</v>
      </c>
      <c r="D23" s="194">
        <v>555406000</v>
      </c>
      <c r="E23" s="194">
        <v>563242500</v>
      </c>
      <c r="F23" s="88">
        <v>7836500</v>
      </c>
      <c r="G23" s="301"/>
      <c r="H23" s="388"/>
      <c r="I23" s="235">
        <v>7836500</v>
      </c>
      <c r="J23" s="330"/>
      <c r="K23" s="85">
        <v>12.01</v>
      </c>
    </row>
    <row r="24" spans="1:11">
      <c r="A24" s="89">
        <v>11</v>
      </c>
      <c r="B24" s="116" t="s">
        <v>143</v>
      </c>
      <c r="C24" s="270">
        <v>239.4</v>
      </c>
      <c r="D24" s="195">
        <v>11756466</v>
      </c>
      <c r="E24" s="195">
        <v>11855172</v>
      </c>
      <c r="F24" s="101">
        <v>98706</v>
      </c>
      <c r="G24" s="223">
        <v>98706</v>
      </c>
      <c r="H24" s="231">
        <v>2736</v>
      </c>
      <c r="I24" s="257">
        <v>95970</v>
      </c>
      <c r="J24" s="255">
        <v>95970</v>
      </c>
      <c r="K24" s="85">
        <v>0.41</v>
      </c>
    </row>
    <row r="25" spans="1:11">
      <c r="A25" s="325">
        <v>12</v>
      </c>
      <c r="B25" s="119" t="s">
        <v>144</v>
      </c>
      <c r="C25" s="274">
        <v>85.89</v>
      </c>
      <c r="D25" s="97"/>
      <c r="E25" s="121"/>
      <c r="F25" s="275">
        <v>20727</v>
      </c>
      <c r="G25" s="331">
        <v>173961</v>
      </c>
      <c r="H25" s="389">
        <v>2608</v>
      </c>
      <c r="I25" s="231">
        <v>20727</v>
      </c>
      <c r="J25" s="375">
        <v>171353</v>
      </c>
      <c r="K25" s="85">
        <v>0.24</v>
      </c>
    </row>
    <row r="26" spans="1:11">
      <c r="A26" s="326"/>
      <c r="B26" s="119" t="s">
        <v>145</v>
      </c>
      <c r="C26" s="270">
        <v>600.66</v>
      </c>
      <c r="D26" s="97"/>
      <c r="E26" s="121"/>
      <c r="F26" s="275">
        <v>153234</v>
      </c>
      <c r="G26" s="332"/>
      <c r="H26" s="390"/>
      <c r="I26" s="231">
        <v>150626</v>
      </c>
      <c r="J26" s="376"/>
      <c r="K26" s="85">
        <v>0.26</v>
      </c>
    </row>
    <row r="27" spans="1:11">
      <c r="A27" s="106">
        <v>13</v>
      </c>
      <c r="B27" s="123" t="s">
        <v>146</v>
      </c>
      <c r="C27" s="276">
        <v>376.65</v>
      </c>
      <c r="D27" s="97"/>
      <c r="E27" s="98"/>
      <c r="F27" s="124">
        <v>206673</v>
      </c>
      <c r="G27" s="125">
        <v>206673</v>
      </c>
      <c r="H27" s="250">
        <v>3557</v>
      </c>
      <c r="I27" s="257">
        <v>203116</v>
      </c>
      <c r="J27" s="258">
        <v>203116</v>
      </c>
      <c r="K27" s="85">
        <v>0.55000000000000004</v>
      </c>
    </row>
    <row r="28" spans="1:11">
      <c r="A28" s="304">
        <v>14</v>
      </c>
      <c r="B28" s="126" t="s">
        <v>147</v>
      </c>
      <c r="C28" s="277">
        <v>258.88</v>
      </c>
      <c r="D28" s="127">
        <v>34567600</v>
      </c>
      <c r="E28" s="127">
        <v>40865800</v>
      </c>
      <c r="F28" s="101">
        <v>6298200</v>
      </c>
      <c r="G28" s="309">
        <v>13765800</v>
      </c>
      <c r="H28" s="250">
        <v>75537</v>
      </c>
      <c r="I28" s="234">
        <v>6222663</v>
      </c>
      <c r="J28" s="338">
        <v>13690263</v>
      </c>
      <c r="K28" s="128">
        <v>24.33</v>
      </c>
    </row>
    <row r="29" spans="1:11" ht="15.75" thickBot="1">
      <c r="A29" s="299"/>
      <c r="B29" s="129" t="s">
        <v>148</v>
      </c>
      <c r="C29" s="270">
        <v>323.08</v>
      </c>
      <c r="D29" s="101">
        <v>76149000</v>
      </c>
      <c r="E29" s="101">
        <v>83616600</v>
      </c>
      <c r="F29" s="101">
        <v>7467600</v>
      </c>
      <c r="G29" s="377"/>
      <c r="H29" s="239">
        <v>0</v>
      </c>
      <c r="I29" s="240">
        <v>7467600</v>
      </c>
      <c r="J29" s="339"/>
      <c r="K29" s="128">
        <v>23.11</v>
      </c>
    </row>
    <row r="30" spans="1:11" ht="16.5" thickTop="1" thickBot="1">
      <c r="A30" s="318" t="s">
        <v>149</v>
      </c>
      <c r="B30" s="319"/>
      <c r="C30" s="319"/>
      <c r="D30" s="319"/>
      <c r="E30" s="320"/>
      <c r="F30" s="110">
        <v>39850165</v>
      </c>
      <c r="G30" s="110">
        <v>39850165</v>
      </c>
      <c r="H30" s="110">
        <v>238544</v>
      </c>
      <c r="I30" s="110">
        <v>39620411</v>
      </c>
      <c r="J30" s="110">
        <v>39620411</v>
      </c>
      <c r="K30" s="111">
        <v>94</v>
      </c>
    </row>
    <row r="31" spans="1:11" ht="15.75" thickTop="1">
      <c r="A31" s="321" t="s">
        <v>150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11">
      <c r="A32" s="298">
        <v>15</v>
      </c>
      <c r="B32" s="130" t="s">
        <v>151</v>
      </c>
      <c r="C32" s="131">
        <v>140.30000000000001</v>
      </c>
      <c r="D32" s="132">
        <v>4000876603</v>
      </c>
      <c r="E32" s="132">
        <v>4004091111</v>
      </c>
      <c r="F32" s="101">
        <v>3214508</v>
      </c>
      <c r="G32" s="379">
        <v>5064808</v>
      </c>
      <c r="H32" s="133">
        <v>19855</v>
      </c>
      <c r="I32" s="134">
        <v>3194653</v>
      </c>
      <c r="J32" s="340">
        <v>5044953</v>
      </c>
      <c r="K32" s="135">
        <v>22.91</v>
      </c>
    </row>
    <row r="33" spans="1:11">
      <c r="A33" s="299"/>
      <c r="B33" s="130" t="s">
        <v>152</v>
      </c>
      <c r="C33" s="136">
        <v>105.9</v>
      </c>
      <c r="D33" s="137">
        <v>795148800</v>
      </c>
      <c r="E33" s="137">
        <v>796999100</v>
      </c>
      <c r="F33" s="84">
        <v>1850300</v>
      </c>
      <c r="G33" s="310"/>
      <c r="H33" s="101">
        <v>0</v>
      </c>
      <c r="I33" s="134">
        <v>1850300</v>
      </c>
      <c r="J33" s="341"/>
      <c r="K33" s="138">
        <v>17.47</v>
      </c>
    </row>
    <row r="34" spans="1:11">
      <c r="A34" s="304">
        <v>16</v>
      </c>
      <c r="B34" s="139" t="s">
        <v>153</v>
      </c>
      <c r="C34" s="206">
        <v>213.23</v>
      </c>
      <c r="D34" s="140">
        <v>2761079009</v>
      </c>
      <c r="E34" s="140">
        <v>2770602515</v>
      </c>
      <c r="F34" s="84">
        <v>9523506</v>
      </c>
      <c r="G34" s="309">
        <v>12283004</v>
      </c>
      <c r="H34" s="141">
        <v>0</v>
      </c>
      <c r="I34" s="142">
        <v>9523506</v>
      </c>
      <c r="J34" s="342">
        <v>12104624</v>
      </c>
      <c r="K34" s="138">
        <v>44.66</v>
      </c>
    </row>
    <row r="35" spans="1:11">
      <c r="A35" s="299"/>
      <c r="B35" s="130" t="s">
        <v>154</v>
      </c>
      <c r="C35" s="206">
        <v>67.73</v>
      </c>
      <c r="D35" s="105">
        <v>2598573465</v>
      </c>
      <c r="E35" s="105">
        <v>2601332963</v>
      </c>
      <c r="F35" s="88">
        <v>2759498</v>
      </c>
      <c r="G35" s="310"/>
      <c r="H35" s="141">
        <v>178380</v>
      </c>
      <c r="I35" s="142">
        <v>2581118</v>
      </c>
      <c r="J35" s="341"/>
      <c r="K35" s="138">
        <v>40.74</v>
      </c>
    </row>
    <row r="36" spans="1:11">
      <c r="A36" s="304">
        <v>17</v>
      </c>
      <c r="B36" s="130" t="s">
        <v>155</v>
      </c>
      <c r="C36" s="206">
        <v>319.11</v>
      </c>
      <c r="D36" s="143">
        <v>670970880</v>
      </c>
      <c r="E36" s="143">
        <v>679125312</v>
      </c>
      <c r="F36" s="84">
        <v>8154432</v>
      </c>
      <c r="G36" s="309">
        <v>19315392</v>
      </c>
      <c r="H36" s="101">
        <v>103226</v>
      </c>
      <c r="I36" s="134">
        <v>8051206</v>
      </c>
      <c r="J36" s="342">
        <v>19212166</v>
      </c>
      <c r="K36" s="138">
        <v>25.55</v>
      </c>
    </row>
    <row r="37" spans="1:11">
      <c r="A37" s="299"/>
      <c r="B37" s="139" t="s">
        <v>156</v>
      </c>
      <c r="C37" s="82">
        <v>423.16</v>
      </c>
      <c r="D37" s="143">
        <v>890899904</v>
      </c>
      <c r="E37" s="143">
        <v>902060864</v>
      </c>
      <c r="F37" s="84">
        <v>11160960</v>
      </c>
      <c r="G37" s="310"/>
      <c r="H37" s="144">
        <v>0</v>
      </c>
      <c r="I37" s="134">
        <v>11160960</v>
      </c>
      <c r="J37" s="341"/>
      <c r="K37" s="138">
        <v>26.38</v>
      </c>
    </row>
    <row r="38" spans="1:11">
      <c r="A38" s="145">
        <v>18</v>
      </c>
      <c r="B38" s="130" t="s">
        <v>157</v>
      </c>
      <c r="C38" s="82">
        <v>0</v>
      </c>
      <c r="D38" s="146"/>
      <c r="E38" s="147"/>
      <c r="F38" s="148">
        <v>0</v>
      </c>
      <c r="G38" s="220">
        <v>0</v>
      </c>
      <c r="H38" s="220">
        <v>336</v>
      </c>
      <c r="I38" s="134">
        <v>0</v>
      </c>
      <c r="J38" s="134">
        <v>0</v>
      </c>
      <c r="K38" s="150">
        <v>0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20">
        <v>0</v>
      </c>
      <c r="H39" s="219">
        <v>558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640.53</v>
      </c>
      <c r="D40" s="196">
        <v>41074765</v>
      </c>
      <c r="E40" s="196">
        <v>41352780</v>
      </c>
      <c r="F40" s="84">
        <v>278015</v>
      </c>
      <c r="G40" s="219">
        <v>278015</v>
      </c>
      <c r="H40" s="84">
        <v>6983</v>
      </c>
      <c r="I40" s="134">
        <v>271032</v>
      </c>
      <c r="J40" s="231">
        <v>271032</v>
      </c>
      <c r="K40" s="138">
        <v>0.43</v>
      </c>
    </row>
    <row r="41" spans="1:11" ht="16.5" thickTop="1" thickBot="1">
      <c r="A41" s="318" t="s">
        <v>160</v>
      </c>
      <c r="B41" s="319"/>
      <c r="C41" s="319"/>
      <c r="D41" s="319"/>
      <c r="E41" s="320"/>
      <c r="F41" s="110">
        <v>36941219</v>
      </c>
      <c r="G41" s="110">
        <v>36941219</v>
      </c>
      <c r="H41" s="110">
        <v>309338</v>
      </c>
      <c r="I41" s="110">
        <v>36632775</v>
      </c>
      <c r="J41" s="110">
        <v>36632775</v>
      </c>
      <c r="K41" s="111">
        <v>178</v>
      </c>
    </row>
    <row r="42" spans="1:11" ht="15.75" thickTop="1">
      <c r="A42" s="321" t="s">
        <v>161</v>
      </c>
      <c r="B42" s="322"/>
      <c r="C42" s="322"/>
      <c r="D42" s="322"/>
      <c r="E42" s="322"/>
      <c r="F42" s="322"/>
      <c r="G42" s="322"/>
      <c r="H42" s="322"/>
      <c r="I42" s="322"/>
      <c r="J42" s="322"/>
      <c r="K42" s="323"/>
    </row>
    <row r="43" spans="1:11">
      <c r="A43" s="217">
        <v>21</v>
      </c>
      <c r="B43" s="153" t="s">
        <v>162</v>
      </c>
      <c r="C43" s="136">
        <v>735.19</v>
      </c>
      <c r="D43" s="154">
        <v>914316144</v>
      </c>
      <c r="E43" s="154">
        <v>921154520</v>
      </c>
      <c r="F43" s="84">
        <v>6838376</v>
      </c>
      <c r="G43" s="219">
        <v>6838376</v>
      </c>
      <c r="H43" s="219">
        <v>13382</v>
      </c>
      <c r="I43" s="219">
        <v>6824994</v>
      </c>
      <c r="J43" s="92">
        <v>6824994</v>
      </c>
      <c r="K43" s="150">
        <v>9.3000000000000007</v>
      </c>
    </row>
    <row r="44" spans="1:11">
      <c r="A44" s="89">
        <v>22</v>
      </c>
      <c r="B44" s="155" t="s">
        <v>163</v>
      </c>
      <c r="C44" s="156">
        <v>698.64</v>
      </c>
      <c r="D44" s="157">
        <v>678179800</v>
      </c>
      <c r="E44" s="157">
        <v>681666700</v>
      </c>
      <c r="F44" s="84">
        <v>3486900</v>
      </c>
      <c r="G44" s="84">
        <v>3486900</v>
      </c>
      <c r="H44" s="84">
        <v>11374</v>
      </c>
      <c r="I44" s="219">
        <v>3475526</v>
      </c>
      <c r="J44" s="92">
        <v>3475526</v>
      </c>
      <c r="K44" s="150">
        <v>4.99</v>
      </c>
    </row>
    <row r="45" spans="1:11">
      <c r="A45" s="218">
        <v>23</v>
      </c>
      <c r="B45" s="130" t="s">
        <v>164</v>
      </c>
      <c r="C45" s="156">
        <v>689.73</v>
      </c>
      <c r="D45" s="213">
        <v>432895562</v>
      </c>
      <c r="E45" s="213">
        <v>433916981</v>
      </c>
      <c r="F45" s="84">
        <v>1021419</v>
      </c>
      <c r="G45" s="84">
        <v>1021419</v>
      </c>
      <c r="H45" s="101">
        <v>8925</v>
      </c>
      <c r="I45" s="84">
        <v>1012494</v>
      </c>
      <c r="J45" s="92">
        <v>1012494</v>
      </c>
      <c r="K45" s="150">
        <v>1.48</v>
      </c>
    </row>
    <row r="46" spans="1:11">
      <c r="A46" s="304">
        <v>24</v>
      </c>
      <c r="B46" s="197" t="s">
        <v>165</v>
      </c>
      <c r="C46" s="156">
        <v>666.87</v>
      </c>
      <c r="D46" s="157">
        <v>384048000</v>
      </c>
      <c r="E46" s="157">
        <v>386028000</v>
      </c>
      <c r="F46" s="84">
        <v>1980000</v>
      </c>
      <c r="G46" s="309">
        <v>3483600</v>
      </c>
      <c r="H46" s="314">
        <v>16200</v>
      </c>
      <c r="I46" s="101">
        <v>1963800</v>
      </c>
      <c r="J46" s="383">
        <v>3467400</v>
      </c>
      <c r="K46" s="150">
        <v>2.97</v>
      </c>
    </row>
    <row r="47" spans="1:11">
      <c r="A47" s="299"/>
      <c r="B47" s="198" t="s">
        <v>166</v>
      </c>
      <c r="C47" s="156">
        <v>531.75</v>
      </c>
      <c r="D47" s="157">
        <v>483375600</v>
      </c>
      <c r="E47" s="157">
        <v>484879200</v>
      </c>
      <c r="F47" s="84">
        <v>1503600</v>
      </c>
      <c r="G47" s="310"/>
      <c r="H47" s="391"/>
      <c r="I47" s="101">
        <v>1503600</v>
      </c>
      <c r="J47" s="384"/>
      <c r="K47" s="150">
        <v>2.83</v>
      </c>
    </row>
    <row r="48" spans="1:11">
      <c r="A48" s="304">
        <v>25</v>
      </c>
      <c r="B48" s="199" t="s">
        <v>167</v>
      </c>
      <c r="C48" s="156">
        <v>709.19</v>
      </c>
      <c r="D48" s="157">
        <v>1035329</v>
      </c>
      <c r="E48" s="157">
        <v>1809692</v>
      </c>
      <c r="F48" s="84">
        <v>774363</v>
      </c>
      <c r="G48" s="309">
        <v>1694256</v>
      </c>
      <c r="H48" s="221">
        <v>18907</v>
      </c>
      <c r="I48" s="101">
        <v>755456</v>
      </c>
      <c r="J48" s="383">
        <v>1675349</v>
      </c>
      <c r="K48" s="150">
        <v>1.0900000000000001</v>
      </c>
    </row>
    <row r="49" spans="1:11">
      <c r="A49" s="299">
        <v>21</v>
      </c>
      <c r="B49" s="126" t="s">
        <v>168</v>
      </c>
      <c r="C49" s="156">
        <v>712.12</v>
      </c>
      <c r="D49" s="200">
        <v>3810248</v>
      </c>
      <c r="E49" s="200">
        <v>4730141</v>
      </c>
      <c r="F49" s="84">
        <v>919893</v>
      </c>
      <c r="G49" s="310"/>
      <c r="H49" s="242">
        <v>0</v>
      </c>
      <c r="I49" s="222">
        <v>919893</v>
      </c>
      <c r="J49" s="384"/>
      <c r="K49" s="138">
        <v>1.29</v>
      </c>
    </row>
    <row r="50" spans="1:11">
      <c r="A50" s="304">
        <v>26</v>
      </c>
      <c r="B50" s="126" t="s">
        <v>169</v>
      </c>
      <c r="C50" s="156">
        <v>180.92</v>
      </c>
      <c r="D50" s="105">
        <v>23382575</v>
      </c>
      <c r="E50" s="105">
        <v>23569516</v>
      </c>
      <c r="F50" s="88">
        <v>186941</v>
      </c>
      <c r="G50" s="309">
        <v>419129</v>
      </c>
      <c r="H50" s="221">
        <v>7560</v>
      </c>
      <c r="I50" s="101">
        <v>179381</v>
      </c>
      <c r="J50" s="383">
        <v>411569</v>
      </c>
      <c r="K50" s="138">
        <v>1.03</v>
      </c>
    </row>
    <row r="51" spans="1:11">
      <c r="A51" s="299"/>
      <c r="B51" s="161" t="s">
        <v>170</v>
      </c>
      <c r="C51" s="156">
        <v>208.91</v>
      </c>
      <c r="D51" s="154">
        <v>0</v>
      </c>
      <c r="E51" s="154">
        <v>0</v>
      </c>
      <c r="F51" s="88">
        <v>232188</v>
      </c>
      <c r="G51" s="310"/>
      <c r="H51" s="84">
        <v>0</v>
      </c>
      <c r="I51" s="101">
        <v>232188</v>
      </c>
      <c r="J51" s="384"/>
      <c r="K51" s="138">
        <v>1.1100000000000001</v>
      </c>
    </row>
    <row r="52" spans="1:11">
      <c r="A52" s="343">
        <v>27</v>
      </c>
      <c r="B52" s="126" t="s">
        <v>103</v>
      </c>
      <c r="C52" s="93">
        <v>118</v>
      </c>
      <c r="D52" s="201">
        <v>583691008</v>
      </c>
      <c r="E52" s="201">
        <v>587576064</v>
      </c>
      <c r="F52" s="84">
        <v>3885056</v>
      </c>
      <c r="G52" s="314">
        <v>7309824</v>
      </c>
      <c r="H52" s="251">
        <v>96732</v>
      </c>
      <c r="I52" s="231">
        <v>3788324</v>
      </c>
      <c r="J52" s="345">
        <v>7213092</v>
      </c>
      <c r="K52" s="138">
        <v>32.92</v>
      </c>
    </row>
    <row r="53" spans="1:11" ht="15.75" thickBot="1">
      <c r="A53" s="344"/>
      <c r="B53" s="107" t="s">
        <v>104</v>
      </c>
      <c r="C53" s="163">
        <v>109.07</v>
      </c>
      <c r="D53" s="84">
        <v>610243304</v>
      </c>
      <c r="E53" s="84">
        <v>613668072</v>
      </c>
      <c r="F53" s="84">
        <v>3424768</v>
      </c>
      <c r="G53" s="337"/>
      <c r="H53" s="242">
        <v>0</v>
      </c>
      <c r="I53" s="252">
        <v>3424768</v>
      </c>
      <c r="J53" s="354"/>
      <c r="K53" s="138">
        <v>31.4</v>
      </c>
    </row>
    <row r="54" spans="1:11" ht="16.5" thickTop="1" thickBot="1">
      <c r="A54" s="347" t="s">
        <v>171</v>
      </c>
      <c r="B54" s="348"/>
      <c r="C54" s="348"/>
      <c r="D54" s="348"/>
      <c r="E54" s="349"/>
      <c r="F54" s="110">
        <v>24253504</v>
      </c>
      <c r="G54" s="110">
        <v>24253504</v>
      </c>
      <c r="H54" s="110">
        <v>173080</v>
      </c>
      <c r="I54" s="110">
        <v>24080424</v>
      </c>
      <c r="J54" s="110">
        <v>24080424</v>
      </c>
      <c r="K54" s="111">
        <v>90</v>
      </c>
    </row>
    <row r="55" spans="1:11" ht="17.25" thickTop="1" thickBot="1">
      <c r="A55" s="350" t="s">
        <v>172</v>
      </c>
      <c r="B55" s="351"/>
      <c r="C55" s="351"/>
      <c r="D55" s="351"/>
      <c r="E55" s="352"/>
      <c r="F55" s="110">
        <v>136305397</v>
      </c>
      <c r="G55" s="110">
        <v>136305397</v>
      </c>
      <c r="H55" s="110">
        <v>879271</v>
      </c>
      <c r="I55" s="110">
        <v>135435810</v>
      </c>
      <c r="J55" s="110">
        <v>135435810</v>
      </c>
      <c r="K55" s="111">
        <v>498</v>
      </c>
    </row>
  </sheetData>
  <mergeCells count="62">
    <mergeCell ref="A52:A53"/>
    <mergeCell ref="G52:G53"/>
    <mergeCell ref="J52:J53"/>
    <mergeCell ref="A54:E54"/>
    <mergeCell ref="A55:E55"/>
    <mergeCell ref="A50:A51"/>
    <mergeCell ref="G50:G51"/>
    <mergeCell ref="J50:J51"/>
    <mergeCell ref="A46:A47"/>
    <mergeCell ref="G46:G47"/>
    <mergeCell ref="H46:H47"/>
    <mergeCell ref="J46:J47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11:A12"/>
    <mergeCell ref="G11:G12"/>
    <mergeCell ref="H11:H12"/>
    <mergeCell ref="J11:J12"/>
    <mergeCell ref="A13:A14"/>
    <mergeCell ref="G13:G14"/>
    <mergeCell ref="H13:H14"/>
    <mergeCell ref="J13:J14"/>
    <mergeCell ref="A5:K5"/>
    <mergeCell ref="A6:A7"/>
    <mergeCell ref="G6:G7"/>
    <mergeCell ref="J6:J7"/>
    <mergeCell ref="A9:A10"/>
    <mergeCell ref="G9:G10"/>
    <mergeCell ref="J9:J10"/>
    <mergeCell ref="A1:A4"/>
    <mergeCell ref="B1:B4"/>
    <mergeCell ref="D1:E2"/>
    <mergeCell ref="K1:K3"/>
    <mergeCell ref="D3:D4"/>
    <mergeCell ref="E3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topLeftCell="A40" workbookViewId="0">
      <selection activeCell="E51" sqref="E51"/>
    </sheetView>
  </sheetViews>
  <sheetFormatPr baseColWidth="10" defaultRowHeight="15"/>
  <sheetData>
    <row r="1" spans="1:13" ht="15" customHeight="1">
      <c r="A1" s="281" t="s">
        <v>1</v>
      </c>
      <c r="B1" s="284" t="s">
        <v>108</v>
      </c>
      <c r="C1" s="71"/>
      <c r="D1" s="287" t="s">
        <v>109</v>
      </c>
      <c r="E1" s="288"/>
      <c r="F1" s="72"/>
      <c r="G1" s="73" t="s">
        <v>110</v>
      </c>
      <c r="H1" s="209" t="s">
        <v>111</v>
      </c>
      <c r="I1" s="209"/>
      <c r="J1" s="74" t="s">
        <v>110</v>
      </c>
      <c r="K1" s="291" t="s">
        <v>112</v>
      </c>
    </row>
    <row r="2" spans="1:13">
      <c r="A2" s="282"/>
      <c r="B2" s="285"/>
      <c r="C2" s="210" t="s">
        <v>113</v>
      </c>
      <c r="D2" s="289"/>
      <c r="E2" s="290"/>
      <c r="F2" s="210" t="s">
        <v>114</v>
      </c>
      <c r="G2" s="75" t="s">
        <v>115</v>
      </c>
      <c r="H2" s="210" t="s">
        <v>116</v>
      </c>
      <c r="I2" s="210" t="s">
        <v>114</v>
      </c>
      <c r="J2" s="75" t="s">
        <v>117</v>
      </c>
      <c r="K2" s="292"/>
    </row>
    <row r="3" spans="1:13">
      <c r="A3" s="282"/>
      <c r="B3" s="285"/>
      <c r="C3" s="76" t="s">
        <v>118</v>
      </c>
      <c r="D3" s="293" t="s">
        <v>119</v>
      </c>
      <c r="E3" s="293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292"/>
    </row>
    <row r="4" spans="1:13">
      <c r="A4" s="283"/>
      <c r="B4" s="286"/>
      <c r="C4" s="79"/>
      <c r="D4" s="294"/>
      <c r="E4" s="294"/>
      <c r="F4" s="212" t="s">
        <v>124</v>
      </c>
      <c r="G4" s="211" t="s">
        <v>124</v>
      </c>
      <c r="H4" s="211" t="s">
        <v>124</v>
      </c>
      <c r="I4" s="211" t="s">
        <v>124</v>
      </c>
      <c r="J4" s="211" t="s">
        <v>124</v>
      </c>
      <c r="K4" s="80" t="s">
        <v>125</v>
      </c>
    </row>
    <row r="5" spans="1:13">
      <c r="A5" s="295" t="s">
        <v>126</v>
      </c>
      <c r="B5" s="296"/>
      <c r="C5" s="296"/>
      <c r="D5" s="296"/>
      <c r="E5" s="296"/>
      <c r="F5" s="296"/>
      <c r="G5" s="296"/>
      <c r="H5" s="296"/>
      <c r="I5" s="296"/>
      <c r="J5" s="296"/>
      <c r="K5" s="297"/>
      <c r="M5" t="s">
        <v>173</v>
      </c>
    </row>
    <row r="6" spans="1:13">
      <c r="A6" s="298">
        <v>1</v>
      </c>
      <c r="B6" s="81" t="s">
        <v>178</v>
      </c>
      <c r="C6" s="82">
        <v>190.35</v>
      </c>
      <c r="D6" s="83">
        <v>40748155</v>
      </c>
      <c r="E6" s="83">
        <v>48694923</v>
      </c>
      <c r="F6" s="84">
        <v>7946768</v>
      </c>
      <c r="G6" s="300">
        <v>14716434</v>
      </c>
      <c r="H6" s="241">
        <v>45640</v>
      </c>
      <c r="I6" s="230">
        <v>7901128</v>
      </c>
      <c r="J6" s="302">
        <v>14670794</v>
      </c>
      <c r="K6" s="85">
        <v>41.75</v>
      </c>
      <c r="M6" s="164">
        <f>SUM(C6:C15)</f>
        <v>3162.6400000000003</v>
      </c>
    </row>
    <row r="7" spans="1:13">
      <c r="A7" s="299"/>
      <c r="B7" s="86" t="s">
        <v>127</v>
      </c>
      <c r="C7" s="87">
        <v>173.42</v>
      </c>
      <c r="D7" s="105">
        <v>33470793</v>
      </c>
      <c r="E7" s="105">
        <v>40240459</v>
      </c>
      <c r="F7" s="88">
        <v>6769666</v>
      </c>
      <c r="G7" s="301"/>
      <c r="H7" s="242">
        <v>0</v>
      </c>
      <c r="I7" s="230">
        <v>6769666</v>
      </c>
      <c r="J7" s="303"/>
      <c r="K7" s="85">
        <v>39.04</v>
      </c>
      <c r="M7" s="13">
        <f>SUM(C18:C29)</f>
        <v>4914.1400000000003</v>
      </c>
    </row>
    <row r="8" spans="1:13">
      <c r="A8" s="89">
        <v>2</v>
      </c>
      <c r="B8" s="86" t="s">
        <v>128</v>
      </c>
      <c r="C8" s="90">
        <v>744</v>
      </c>
      <c r="D8" s="91">
        <v>5020800</v>
      </c>
      <c r="E8" s="91">
        <v>11105300</v>
      </c>
      <c r="F8" s="101">
        <v>6084500</v>
      </c>
      <c r="G8" s="134">
        <v>6084500</v>
      </c>
      <c r="H8" s="232">
        <v>29367</v>
      </c>
      <c r="I8" s="230">
        <v>6055133</v>
      </c>
      <c r="J8" s="279">
        <v>6055133</v>
      </c>
      <c r="K8" s="85">
        <v>8.18</v>
      </c>
      <c r="M8" s="165">
        <f>SUM(C32:C40)</f>
        <v>2747.4399999999996</v>
      </c>
    </row>
    <row r="9" spans="1:13">
      <c r="A9" s="304">
        <v>3</v>
      </c>
      <c r="B9" s="86" t="s">
        <v>129</v>
      </c>
      <c r="C9" s="270">
        <v>207.2</v>
      </c>
      <c r="D9" s="94" t="s">
        <v>175</v>
      </c>
      <c r="E9" s="95"/>
      <c r="F9" s="84">
        <v>4239304</v>
      </c>
      <c r="G9" s="305">
        <v>8448657</v>
      </c>
      <c r="H9" s="96">
        <v>39426</v>
      </c>
      <c r="I9" s="244">
        <v>4199878</v>
      </c>
      <c r="J9" s="307">
        <v>8409231</v>
      </c>
      <c r="K9" s="85">
        <v>20.46</v>
      </c>
      <c r="M9" s="165">
        <f>SUM(C43:C53)</f>
        <v>4400.54</v>
      </c>
    </row>
    <row r="10" spans="1:13" ht="15.75">
      <c r="A10" s="299"/>
      <c r="B10" s="86" t="s">
        <v>130</v>
      </c>
      <c r="C10" s="270">
        <v>209.25</v>
      </c>
      <c r="D10" s="97"/>
      <c r="E10" s="98"/>
      <c r="F10" s="84">
        <v>4209353</v>
      </c>
      <c r="G10" s="306"/>
      <c r="H10" s="245">
        <v>0</v>
      </c>
      <c r="I10" s="231">
        <v>4209353</v>
      </c>
      <c r="J10" s="359"/>
      <c r="K10" s="85">
        <v>20.12</v>
      </c>
      <c r="M10" s="166">
        <f>SUM(M6:M9)</f>
        <v>15224.760000000002</v>
      </c>
    </row>
    <row r="11" spans="1:13">
      <c r="A11" s="304">
        <v>4</v>
      </c>
      <c r="B11" s="86" t="s">
        <v>131</v>
      </c>
      <c r="C11" s="270">
        <v>659</v>
      </c>
      <c r="D11" s="99"/>
      <c r="E11" s="100"/>
      <c r="F11" s="101">
        <v>750272</v>
      </c>
      <c r="G11" s="314">
        <v>853900</v>
      </c>
      <c r="H11" s="360">
        <v>10060</v>
      </c>
      <c r="I11" s="231">
        <v>740212</v>
      </c>
      <c r="J11" s="317">
        <v>843840</v>
      </c>
      <c r="K11" s="85">
        <v>1.1399999999999999</v>
      </c>
    </row>
    <row r="12" spans="1:13">
      <c r="A12" s="299"/>
      <c r="B12" s="86" t="s">
        <v>132</v>
      </c>
      <c r="C12" s="270">
        <v>85</v>
      </c>
      <c r="D12" s="102"/>
      <c r="E12" s="103"/>
      <c r="F12" s="101">
        <v>103628</v>
      </c>
      <c r="G12" s="301"/>
      <c r="H12" s="361"/>
      <c r="I12" s="231">
        <v>103628</v>
      </c>
      <c r="J12" s="303"/>
      <c r="K12" s="85">
        <v>1.22</v>
      </c>
    </row>
    <row r="13" spans="1:13">
      <c r="A13" s="304">
        <v>5</v>
      </c>
      <c r="B13" s="86" t="s">
        <v>133</v>
      </c>
      <c r="C13" s="104">
        <v>0</v>
      </c>
      <c r="D13" s="105">
        <v>0</v>
      </c>
      <c r="E13" s="105">
        <v>0</v>
      </c>
      <c r="F13" s="84">
        <v>0</v>
      </c>
      <c r="G13" s="314">
        <v>50300</v>
      </c>
      <c r="H13" s="392">
        <v>3662</v>
      </c>
      <c r="I13" s="231">
        <v>-3662</v>
      </c>
      <c r="J13" s="317">
        <v>46638</v>
      </c>
      <c r="K13" s="85">
        <v>0</v>
      </c>
    </row>
    <row r="14" spans="1:13">
      <c r="A14" s="299"/>
      <c r="B14" s="86" t="s">
        <v>134</v>
      </c>
      <c r="C14" s="104">
        <v>328.26</v>
      </c>
      <c r="D14" s="105">
        <v>15545</v>
      </c>
      <c r="E14" s="105">
        <v>65845</v>
      </c>
      <c r="F14" s="84">
        <v>50300</v>
      </c>
      <c r="G14" s="301"/>
      <c r="H14" s="393"/>
      <c r="I14" s="271">
        <v>50300</v>
      </c>
      <c r="J14" s="303"/>
      <c r="K14" s="85">
        <v>0</v>
      </c>
    </row>
    <row r="15" spans="1:13" ht="15.75" thickBot="1">
      <c r="A15" s="106">
        <v>6</v>
      </c>
      <c r="B15" s="107" t="s">
        <v>135</v>
      </c>
      <c r="C15" s="216">
        <v>566.16</v>
      </c>
      <c r="D15" s="191">
        <v>51334132</v>
      </c>
      <c r="E15" s="191">
        <v>52037398</v>
      </c>
      <c r="F15" s="101">
        <v>703266</v>
      </c>
      <c r="G15" s="134">
        <v>703266</v>
      </c>
      <c r="H15" s="232">
        <v>14335</v>
      </c>
      <c r="I15" s="280">
        <v>688931</v>
      </c>
      <c r="J15" s="246">
        <v>688931</v>
      </c>
      <c r="K15" s="85">
        <v>1.24</v>
      </c>
    </row>
    <row r="16" spans="1:13" ht="16.5" thickTop="1" thickBot="1">
      <c r="A16" s="318" t="s">
        <v>136</v>
      </c>
      <c r="B16" s="319"/>
      <c r="C16" s="319"/>
      <c r="D16" s="319"/>
      <c r="E16" s="320"/>
      <c r="F16" s="110">
        <v>30857057</v>
      </c>
      <c r="G16" s="110">
        <v>30857057</v>
      </c>
      <c r="H16" s="110">
        <v>142490</v>
      </c>
      <c r="I16" s="110">
        <v>30714567</v>
      </c>
      <c r="J16" s="110">
        <v>30714567</v>
      </c>
      <c r="K16" s="111">
        <v>133</v>
      </c>
    </row>
    <row r="17" spans="1:11" ht="15.75" thickTop="1">
      <c r="A17" s="295" t="s">
        <v>137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7"/>
    </row>
    <row r="18" spans="1:11">
      <c r="A18" s="217">
        <v>7</v>
      </c>
      <c r="B18" s="112" t="s">
        <v>138</v>
      </c>
      <c r="C18" s="113">
        <v>191.75</v>
      </c>
      <c r="D18" s="91">
        <v>47600000</v>
      </c>
      <c r="E18" s="91">
        <v>49380000</v>
      </c>
      <c r="F18" s="84">
        <v>1780000</v>
      </c>
      <c r="G18" s="223">
        <v>1780000</v>
      </c>
      <c r="H18" s="115">
        <v>15744</v>
      </c>
      <c r="I18" s="233">
        <v>1764256</v>
      </c>
      <c r="J18" s="246">
        <v>1764256</v>
      </c>
      <c r="K18" s="85">
        <v>9.2799999999999994</v>
      </c>
    </row>
    <row r="19" spans="1:11">
      <c r="A19" s="89">
        <v>8</v>
      </c>
      <c r="B19" s="116" t="s">
        <v>182</v>
      </c>
      <c r="C19" s="113">
        <v>696.7</v>
      </c>
      <c r="D19" s="193">
        <v>805710200</v>
      </c>
      <c r="E19" s="193">
        <v>810618200</v>
      </c>
      <c r="F19" s="84">
        <v>4908000</v>
      </c>
      <c r="G19" s="223">
        <v>8535605</v>
      </c>
      <c r="H19" s="272">
        <v>37180</v>
      </c>
      <c r="I19" s="235">
        <v>4870820</v>
      </c>
      <c r="J19" s="88">
        <v>8498425</v>
      </c>
      <c r="K19" s="109">
        <v>7.04</v>
      </c>
    </row>
    <row r="20" spans="1:11">
      <c r="A20" s="89"/>
      <c r="B20" s="116" t="s">
        <v>183</v>
      </c>
      <c r="C20" s="269">
        <v>722.57</v>
      </c>
      <c r="D20" s="278">
        <v>7070935</v>
      </c>
      <c r="E20" s="278">
        <v>10698540</v>
      </c>
      <c r="F20" s="84">
        <v>3627605</v>
      </c>
      <c r="G20" s="223"/>
      <c r="H20" s="268">
        <v>0</v>
      </c>
      <c r="I20" s="235">
        <v>3627605</v>
      </c>
      <c r="J20" s="88"/>
      <c r="K20" s="109">
        <v>5.0199999999999996</v>
      </c>
    </row>
    <row r="21" spans="1:11">
      <c r="A21" s="89">
        <v>9</v>
      </c>
      <c r="B21" s="116" t="s">
        <v>140</v>
      </c>
      <c r="C21" s="82">
        <v>0</v>
      </c>
      <c r="D21" s="248">
        <v>695351266</v>
      </c>
      <c r="E21" s="248">
        <v>695351266</v>
      </c>
      <c r="F21" s="84">
        <v>0</v>
      </c>
      <c r="G21" s="223">
        <v>0</v>
      </c>
      <c r="H21" s="236">
        <v>8198</v>
      </c>
      <c r="I21" s="235">
        <v>0</v>
      </c>
      <c r="J21" s="237">
        <v>0</v>
      </c>
      <c r="K21" s="109">
        <v>0</v>
      </c>
    </row>
    <row r="22" spans="1:11">
      <c r="A22" s="325">
        <v>10</v>
      </c>
      <c r="B22" s="116" t="s">
        <v>141</v>
      </c>
      <c r="C22" s="120">
        <v>476.47</v>
      </c>
      <c r="D22" s="248">
        <v>672919500</v>
      </c>
      <c r="E22" s="248">
        <v>678609500</v>
      </c>
      <c r="F22" s="84">
        <v>5690000</v>
      </c>
      <c r="G22" s="314">
        <v>13380000</v>
      </c>
      <c r="H22" s="387">
        <v>74520</v>
      </c>
      <c r="I22" s="117">
        <v>5615480</v>
      </c>
      <c r="J22" s="329">
        <v>13305480</v>
      </c>
      <c r="K22" s="85">
        <v>11.94</v>
      </c>
    </row>
    <row r="23" spans="1:11">
      <c r="A23" s="326"/>
      <c r="B23" s="116" t="s">
        <v>142</v>
      </c>
      <c r="C23" s="273">
        <v>639.1</v>
      </c>
      <c r="D23" s="194">
        <v>563242500</v>
      </c>
      <c r="E23" s="194">
        <v>570932500</v>
      </c>
      <c r="F23" s="88">
        <v>7690000</v>
      </c>
      <c r="G23" s="301"/>
      <c r="H23" s="388"/>
      <c r="I23" s="235">
        <v>7690000</v>
      </c>
      <c r="J23" s="330"/>
      <c r="K23" s="85">
        <v>12.03</v>
      </c>
    </row>
    <row r="24" spans="1:11">
      <c r="A24" s="89">
        <v>11</v>
      </c>
      <c r="B24" s="116" t="s">
        <v>143</v>
      </c>
      <c r="C24" s="270">
        <v>302.86</v>
      </c>
      <c r="D24" s="195">
        <v>11855172</v>
      </c>
      <c r="E24" s="195">
        <v>11959850</v>
      </c>
      <c r="F24" s="101">
        <v>104678</v>
      </c>
      <c r="G24" s="223">
        <v>104678</v>
      </c>
      <c r="H24" s="231">
        <v>3029</v>
      </c>
      <c r="I24" s="257">
        <v>101649</v>
      </c>
      <c r="J24" s="255">
        <v>101649</v>
      </c>
      <c r="K24" s="85">
        <v>0.35</v>
      </c>
    </row>
    <row r="25" spans="1:11">
      <c r="A25" s="325">
        <v>12</v>
      </c>
      <c r="B25" s="119" t="s">
        <v>144</v>
      </c>
      <c r="C25" s="274">
        <v>566.67999999999995</v>
      </c>
      <c r="D25" s="97"/>
      <c r="E25" s="121"/>
      <c r="F25" s="275">
        <v>118191</v>
      </c>
      <c r="G25" s="331">
        <v>148982</v>
      </c>
      <c r="H25" s="389">
        <v>2660</v>
      </c>
      <c r="I25" s="231">
        <v>118191</v>
      </c>
      <c r="J25" s="375">
        <v>146322</v>
      </c>
      <c r="K25" s="85">
        <v>0.21</v>
      </c>
    </row>
    <row r="26" spans="1:11">
      <c r="A26" s="326"/>
      <c r="B26" s="119" t="s">
        <v>145</v>
      </c>
      <c r="C26" s="270">
        <v>173.16</v>
      </c>
      <c r="D26" s="97"/>
      <c r="E26" s="121"/>
      <c r="F26" s="275">
        <v>30791</v>
      </c>
      <c r="G26" s="332"/>
      <c r="H26" s="390"/>
      <c r="I26" s="231">
        <v>28131</v>
      </c>
      <c r="J26" s="376"/>
      <c r="K26" s="85">
        <v>0.18</v>
      </c>
    </row>
    <row r="27" spans="1:11">
      <c r="A27" s="106">
        <v>13</v>
      </c>
      <c r="B27" s="123" t="s">
        <v>146</v>
      </c>
      <c r="C27" s="276">
        <v>467.65</v>
      </c>
      <c r="D27" s="97"/>
      <c r="E27" s="98"/>
      <c r="F27" s="124">
        <v>248417</v>
      </c>
      <c r="G27" s="125">
        <v>248417</v>
      </c>
      <c r="H27" s="250">
        <v>3673</v>
      </c>
      <c r="I27" s="257">
        <v>244744</v>
      </c>
      <c r="J27" s="258">
        <v>244744</v>
      </c>
      <c r="K27" s="85">
        <v>0.53</v>
      </c>
    </row>
    <row r="28" spans="1:11">
      <c r="A28" s="304">
        <v>14</v>
      </c>
      <c r="B28" s="126" t="s">
        <v>147</v>
      </c>
      <c r="C28" s="277">
        <v>572.85</v>
      </c>
      <c r="D28" s="127">
        <v>40865800</v>
      </c>
      <c r="E28" s="127">
        <v>48530600</v>
      </c>
      <c r="F28" s="101">
        <v>7664800</v>
      </c>
      <c r="G28" s="309">
        <v>9413800</v>
      </c>
      <c r="H28" s="250">
        <v>86759</v>
      </c>
      <c r="I28" s="234">
        <v>7578041</v>
      </c>
      <c r="J28" s="338">
        <v>9327041</v>
      </c>
      <c r="K28" s="128">
        <v>13.38</v>
      </c>
    </row>
    <row r="29" spans="1:11" ht="15.75" thickBot="1">
      <c r="A29" s="299"/>
      <c r="B29" s="129" t="s">
        <v>148</v>
      </c>
      <c r="C29" s="270">
        <v>104.35</v>
      </c>
      <c r="D29" s="101">
        <v>83616600</v>
      </c>
      <c r="E29" s="101">
        <v>85365600</v>
      </c>
      <c r="F29" s="101">
        <v>1749000</v>
      </c>
      <c r="G29" s="377"/>
      <c r="H29" s="239">
        <v>0</v>
      </c>
      <c r="I29" s="240">
        <v>1749000</v>
      </c>
      <c r="J29" s="339"/>
      <c r="K29" s="128">
        <v>16.760000000000002</v>
      </c>
    </row>
    <row r="30" spans="1:11" ht="16.5" thickTop="1" thickBot="1">
      <c r="A30" s="318" t="s">
        <v>149</v>
      </c>
      <c r="B30" s="319"/>
      <c r="C30" s="319"/>
      <c r="D30" s="319"/>
      <c r="E30" s="320"/>
      <c r="F30" s="110">
        <v>33611482</v>
      </c>
      <c r="G30" s="110">
        <v>33611482</v>
      </c>
      <c r="H30" s="110">
        <v>231763</v>
      </c>
      <c r="I30" s="110">
        <v>33387917</v>
      </c>
      <c r="J30" s="110">
        <v>33387917</v>
      </c>
      <c r="K30" s="111">
        <v>77</v>
      </c>
    </row>
    <row r="31" spans="1:11" ht="15.75" thickTop="1">
      <c r="A31" s="321" t="s">
        <v>150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11">
      <c r="A32" s="298">
        <v>15</v>
      </c>
      <c r="B32" s="130" t="s">
        <v>151</v>
      </c>
      <c r="C32" s="131">
        <v>384.65</v>
      </c>
      <c r="D32" s="132">
        <v>4004091111</v>
      </c>
      <c r="E32" s="132">
        <v>4012821959</v>
      </c>
      <c r="F32" s="101">
        <v>8730848</v>
      </c>
      <c r="G32" s="379">
        <v>13014648</v>
      </c>
      <c r="H32" s="133">
        <v>23340</v>
      </c>
      <c r="I32" s="134">
        <v>8707508</v>
      </c>
      <c r="J32" s="340">
        <v>12991308</v>
      </c>
      <c r="K32" s="135">
        <v>22.7</v>
      </c>
    </row>
    <row r="33" spans="1:11">
      <c r="A33" s="299"/>
      <c r="B33" s="130" t="s">
        <v>152</v>
      </c>
      <c r="C33" s="136">
        <v>233.92</v>
      </c>
      <c r="D33" s="137">
        <v>796999100</v>
      </c>
      <c r="E33" s="137">
        <v>801282900</v>
      </c>
      <c r="F33" s="84">
        <v>4283800</v>
      </c>
      <c r="G33" s="310"/>
      <c r="H33" s="101">
        <v>0</v>
      </c>
      <c r="I33" s="134">
        <v>4283800</v>
      </c>
      <c r="J33" s="341"/>
      <c r="K33" s="138">
        <v>18.309999999999999</v>
      </c>
    </row>
    <row r="34" spans="1:11">
      <c r="A34" s="304">
        <v>16</v>
      </c>
      <c r="B34" s="139" t="s">
        <v>153</v>
      </c>
      <c r="C34" s="206">
        <v>443.73</v>
      </c>
      <c r="D34" s="140">
        <v>2770602515</v>
      </c>
      <c r="E34" s="140">
        <v>2790792708</v>
      </c>
      <c r="F34" s="84">
        <v>20190193</v>
      </c>
      <c r="G34" s="309">
        <v>27760372</v>
      </c>
      <c r="H34" s="141">
        <v>0</v>
      </c>
      <c r="I34" s="142">
        <v>20190193</v>
      </c>
      <c r="J34" s="342">
        <v>27552712</v>
      </c>
      <c r="K34" s="138">
        <v>45.5</v>
      </c>
    </row>
    <row r="35" spans="1:11">
      <c r="A35" s="299"/>
      <c r="B35" s="130" t="s">
        <v>154</v>
      </c>
      <c r="C35" s="206">
        <v>156.16</v>
      </c>
      <c r="D35" s="105">
        <v>2601332963</v>
      </c>
      <c r="E35" s="105">
        <v>2608903142</v>
      </c>
      <c r="F35" s="88">
        <v>7570179</v>
      </c>
      <c r="G35" s="310"/>
      <c r="H35" s="141">
        <v>207660</v>
      </c>
      <c r="I35" s="142">
        <v>7362519</v>
      </c>
      <c r="J35" s="341"/>
      <c r="K35" s="138">
        <v>48.48</v>
      </c>
    </row>
    <row r="36" spans="1:11">
      <c r="A36" s="304">
        <v>17</v>
      </c>
      <c r="B36" s="130" t="s">
        <v>155</v>
      </c>
      <c r="C36" s="206">
        <v>494.17</v>
      </c>
      <c r="D36" s="143">
        <v>679125312</v>
      </c>
      <c r="E36" s="143">
        <v>691453440</v>
      </c>
      <c r="F36" s="84">
        <v>12328128</v>
      </c>
      <c r="G36" s="309">
        <v>25679296</v>
      </c>
      <c r="H36" s="101">
        <v>89902</v>
      </c>
      <c r="I36" s="134">
        <v>12238226</v>
      </c>
      <c r="J36" s="342">
        <v>25589394</v>
      </c>
      <c r="K36" s="138">
        <v>24.95</v>
      </c>
    </row>
    <row r="37" spans="1:11">
      <c r="A37" s="299"/>
      <c r="B37" s="139" t="s">
        <v>156</v>
      </c>
      <c r="C37" s="82">
        <v>512.28</v>
      </c>
      <c r="D37" s="143">
        <v>902060864</v>
      </c>
      <c r="E37" s="143">
        <v>915412032</v>
      </c>
      <c r="F37" s="84">
        <v>13351168</v>
      </c>
      <c r="G37" s="310"/>
      <c r="H37" s="144">
        <v>0</v>
      </c>
      <c r="I37" s="134">
        <v>13351168</v>
      </c>
      <c r="J37" s="341"/>
      <c r="K37" s="138">
        <v>26.06</v>
      </c>
    </row>
    <row r="38" spans="1:11">
      <c r="A38" s="145">
        <v>18</v>
      </c>
      <c r="B38" s="130" t="s">
        <v>157</v>
      </c>
      <c r="C38" s="82">
        <v>0</v>
      </c>
      <c r="D38" s="146"/>
      <c r="E38" s="147"/>
      <c r="F38" s="148">
        <v>0</v>
      </c>
      <c r="G38" s="220">
        <v>0</v>
      </c>
      <c r="H38" s="220">
        <v>0</v>
      </c>
      <c r="I38" s="134">
        <v>0</v>
      </c>
      <c r="J38" s="134">
        <v>0</v>
      </c>
      <c r="K38" s="150">
        <v>0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20">
        <v>0</v>
      </c>
      <c r="H39" s="219">
        <v>561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522.53</v>
      </c>
      <c r="D40" s="196">
        <v>41352780</v>
      </c>
      <c r="E40" s="196">
        <v>41626648</v>
      </c>
      <c r="F40" s="84">
        <v>273868</v>
      </c>
      <c r="G40" s="219">
        <v>273868</v>
      </c>
      <c r="H40" s="84">
        <v>6242</v>
      </c>
      <c r="I40" s="134">
        <v>267626</v>
      </c>
      <c r="J40" s="231">
        <v>267626</v>
      </c>
      <c r="K40" s="138">
        <v>0.52</v>
      </c>
    </row>
    <row r="41" spans="1:11" ht="16.5" thickTop="1" thickBot="1">
      <c r="A41" s="318" t="s">
        <v>160</v>
      </c>
      <c r="B41" s="319"/>
      <c r="C41" s="319"/>
      <c r="D41" s="319"/>
      <c r="E41" s="320"/>
      <c r="F41" s="110">
        <v>66728184</v>
      </c>
      <c r="G41" s="110">
        <v>66728184</v>
      </c>
      <c r="H41" s="110">
        <v>327705</v>
      </c>
      <c r="I41" s="110">
        <v>66401040</v>
      </c>
      <c r="J41" s="110">
        <v>66401040</v>
      </c>
      <c r="K41" s="111">
        <v>187</v>
      </c>
    </row>
    <row r="42" spans="1:11" ht="15.75" thickTop="1">
      <c r="A42" s="321" t="s">
        <v>161</v>
      </c>
      <c r="B42" s="322"/>
      <c r="C42" s="322"/>
      <c r="D42" s="322"/>
      <c r="E42" s="322"/>
      <c r="F42" s="322"/>
      <c r="G42" s="322"/>
      <c r="H42" s="322"/>
      <c r="I42" s="322"/>
      <c r="J42" s="322"/>
      <c r="K42" s="323"/>
    </row>
    <row r="43" spans="1:11">
      <c r="A43" s="217">
        <v>21</v>
      </c>
      <c r="B43" s="153" t="s">
        <v>162</v>
      </c>
      <c r="C43" s="136">
        <v>448.87</v>
      </c>
      <c r="D43" s="154">
        <v>921154520</v>
      </c>
      <c r="E43" s="154">
        <v>924821300</v>
      </c>
      <c r="F43" s="84">
        <v>3666780</v>
      </c>
      <c r="G43" s="219">
        <v>3666780</v>
      </c>
      <c r="H43" s="219">
        <v>38015</v>
      </c>
      <c r="I43" s="219">
        <v>3628765</v>
      </c>
      <c r="J43" s="92">
        <v>3628765</v>
      </c>
      <c r="K43" s="150">
        <v>8.17</v>
      </c>
    </row>
    <row r="44" spans="1:11">
      <c r="A44" s="89">
        <v>22</v>
      </c>
      <c r="B44" s="155" t="s">
        <v>163</v>
      </c>
      <c r="C44" s="156">
        <v>724.42</v>
      </c>
      <c r="D44" s="157">
        <v>681666700</v>
      </c>
      <c r="E44" s="157">
        <v>685142800</v>
      </c>
      <c r="F44" s="84">
        <v>3476100</v>
      </c>
      <c r="G44" s="84">
        <v>3476100</v>
      </c>
      <c r="H44" s="84">
        <v>13915</v>
      </c>
      <c r="I44" s="219">
        <v>3462185</v>
      </c>
      <c r="J44" s="92">
        <v>3462185</v>
      </c>
      <c r="K44" s="150">
        <v>4.8</v>
      </c>
    </row>
    <row r="45" spans="1:11">
      <c r="A45" s="218">
        <v>23</v>
      </c>
      <c r="B45" s="130" t="s">
        <v>164</v>
      </c>
      <c r="C45" s="156">
        <v>449.22</v>
      </c>
      <c r="D45" s="213">
        <v>433916981</v>
      </c>
      <c r="E45" s="213">
        <v>434504522</v>
      </c>
      <c r="F45" s="84">
        <v>587541</v>
      </c>
      <c r="G45" s="84">
        <v>587541</v>
      </c>
      <c r="H45" s="101">
        <v>9167</v>
      </c>
      <c r="I45" s="84">
        <v>578374</v>
      </c>
      <c r="J45" s="92">
        <v>578374</v>
      </c>
      <c r="K45" s="150">
        <v>1.31</v>
      </c>
    </row>
    <row r="46" spans="1:11">
      <c r="A46" s="304">
        <v>24</v>
      </c>
      <c r="B46" s="197" t="s">
        <v>165</v>
      </c>
      <c r="C46" s="156">
        <v>322.01</v>
      </c>
      <c r="D46" s="157">
        <v>386028000</v>
      </c>
      <c r="E46" s="157">
        <v>386946600</v>
      </c>
      <c r="F46" s="84">
        <v>918600</v>
      </c>
      <c r="G46" s="309">
        <v>2301600</v>
      </c>
      <c r="H46" s="314">
        <v>14867</v>
      </c>
      <c r="I46" s="101">
        <v>903733</v>
      </c>
      <c r="J46" s="383">
        <v>2286733</v>
      </c>
      <c r="K46" s="150">
        <v>2.85</v>
      </c>
    </row>
    <row r="47" spans="1:11">
      <c r="A47" s="299"/>
      <c r="B47" s="198" t="s">
        <v>166</v>
      </c>
      <c r="C47" s="156">
        <v>495.76</v>
      </c>
      <c r="D47" s="157">
        <v>484879200</v>
      </c>
      <c r="E47" s="157">
        <v>486262200</v>
      </c>
      <c r="F47" s="84">
        <v>1383000</v>
      </c>
      <c r="G47" s="310"/>
      <c r="H47" s="391"/>
      <c r="I47" s="101">
        <v>1383000</v>
      </c>
      <c r="J47" s="384"/>
      <c r="K47" s="150">
        <v>2.79</v>
      </c>
    </row>
    <row r="48" spans="1:11">
      <c r="A48" s="304">
        <v>25</v>
      </c>
      <c r="B48" s="199" t="s">
        <v>167</v>
      </c>
      <c r="C48" s="156">
        <v>655.33000000000004</v>
      </c>
      <c r="D48" s="157">
        <v>1809692</v>
      </c>
      <c r="E48" s="157">
        <v>2563966</v>
      </c>
      <c r="F48" s="84">
        <v>754274</v>
      </c>
      <c r="G48" s="309">
        <v>1529303</v>
      </c>
      <c r="H48" s="221">
        <v>38015</v>
      </c>
      <c r="I48" s="101">
        <v>716259</v>
      </c>
      <c r="J48" s="383">
        <v>1491288</v>
      </c>
      <c r="K48" s="150">
        <v>1.1499999999999999</v>
      </c>
    </row>
    <row r="49" spans="1:11">
      <c r="A49" s="299">
        <v>21</v>
      </c>
      <c r="B49" s="126" t="s">
        <v>168</v>
      </c>
      <c r="C49" s="156">
        <v>658.46</v>
      </c>
      <c r="D49" s="200">
        <v>4730141</v>
      </c>
      <c r="E49" s="200">
        <v>5505170</v>
      </c>
      <c r="F49" s="84">
        <v>775029</v>
      </c>
      <c r="G49" s="310"/>
      <c r="H49" s="242">
        <v>0</v>
      </c>
      <c r="I49" s="222">
        <v>775029</v>
      </c>
      <c r="J49" s="384"/>
      <c r="K49" s="138">
        <v>1.18</v>
      </c>
    </row>
    <row r="50" spans="1:11">
      <c r="A50" s="304">
        <v>26</v>
      </c>
      <c r="B50" s="126" t="s">
        <v>169</v>
      </c>
      <c r="C50" s="156">
        <v>111.49</v>
      </c>
      <c r="D50" s="105">
        <v>0</v>
      </c>
      <c r="E50" s="105">
        <v>0</v>
      </c>
      <c r="F50" s="88">
        <v>260401</v>
      </c>
      <c r="G50" s="309">
        <v>494278</v>
      </c>
      <c r="H50" s="221">
        <v>8039</v>
      </c>
      <c r="I50" s="101">
        <v>252362</v>
      </c>
      <c r="J50" s="383">
        <v>486239</v>
      </c>
      <c r="K50" s="138">
        <v>2.34</v>
      </c>
    </row>
    <row r="51" spans="1:11">
      <c r="A51" s="299"/>
      <c r="B51" s="161" t="s">
        <v>170</v>
      </c>
      <c r="C51" s="156">
        <v>156.05000000000001</v>
      </c>
      <c r="D51" s="154">
        <v>0</v>
      </c>
      <c r="E51" s="154">
        <v>0</v>
      </c>
      <c r="F51" s="88">
        <v>233877</v>
      </c>
      <c r="G51" s="310"/>
      <c r="H51" s="84">
        <v>0</v>
      </c>
      <c r="I51" s="101">
        <v>233877</v>
      </c>
      <c r="J51" s="384"/>
      <c r="K51" s="138">
        <v>1.5</v>
      </c>
    </row>
    <row r="52" spans="1:11">
      <c r="A52" s="343">
        <v>27</v>
      </c>
      <c r="B52" s="126" t="s">
        <v>103</v>
      </c>
      <c r="C52" s="93">
        <v>193.1</v>
      </c>
      <c r="D52" s="201">
        <v>587576064</v>
      </c>
      <c r="E52" s="201">
        <v>594064832</v>
      </c>
      <c r="F52" s="84">
        <v>6488768</v>
      </c>
      <c r="G52" s="314">
        <v>13148352</v>
      </c>
      <c r="H52" s="251">
        <v>109489</v>
      </c>
      <c r="I52" s="231">
        <v>6379279</v>
      </c>
      <c r="J52" s="345">
        <v>13038863</v>
      </c>
      <c r="K52" s="138">
        <v>33.6</v>
      </c>
    </row>
    <row r="53" spans="1:11" ht="15.75" thickBot="1">
      <c r="A53" s="344"/>
      <c r="B53" s="107" t="s">
        <v>104</v>
      </c>
      <c r="C53" s="163">
        <v>185.83</v>
      </c>
      <c r="D53" s="84">
        <v>613668072</v>
      </c>
      <c r="E53" s="84">
        <v>620327656</v>
      </c>
      <c r="F53" s="84">
        <v>6659584</v>
      </c>
      <c r="G53" s="337"/>
      <c r="H53" s="242">
        <v>0</v>
      </c>
      <c r="I53" s="252">
        <v>6659584</v>
      </c>
      <c r="J53" s="354"/>
      <c r="K53" s="138">
        <v>35.840000000000003</v>
      </c>
    </row>
    <row r="54" spans="1:11" ht="16.5" thickTop="1" thickBot="1">
      <c r="A54" s="347" t="s">
        <v>171</v>
      </c>
      <c r="B54" s="348"/>
      <c r="C54" s="348"/>
      <c r="D54" s="348"/>
      <c r="E54" s="349"/>
      <c r="F54" s="110">
        <v>25203954</v>
      </c>
      <c r="G54" s="110">
        <v>25203954</v>
      </c>
      <c r="H54" s="110">
        <v>231507</v>
      </c>
      <c r="I54" s="110">
        <v>24972447</v>
      </c>
      <c r="J54" s="110">
        <v>24972447</v>
      </c>
      <c r="K54" s="111">
        <v>96</v>
      </c>
    </row>
    <row r="55" spans="1:11" ht="17.25" thickTop="1" thickBot="1">
      <c r="A55" s="350" t="s">
        <v>172</v>
      </c>
      <c r="B55" s="351"/>
      <c r="C55" s="351"/>
      <c r="D55" s="351"/>
      <c r="E55" s="352"/>
      <c r="F55" s="110">
        <v>156400677</v>
      </c>
      <c r="G55" s="110">
        <v>156400677</v>
      </c>
      <c r="H55" s="110">
        <v>933465</v>
      </c>
      <c r="I55" s="110">
        <v>155475971</v>
      </c>
      <c r="J55" s="110">
        <v>155475971</v>
      </c>
      <c r="K55" s="111">
        <v>493</v>
      </c>
    </row>
  </sheetData>
  <mergeCells count="62">
    <mergeCell ref="A52:A53"/>
    <mergeCell ref="G52:G53"/>
    <mergeCell ref="J52:J53"/>
    <mergeCell ref="A54:E54"/>
    <mergeCell ref="A55:E55"/>
    <mergeCell ref="A50:A51"/>
    <mergeCell ref="G50:G51"/>
    <mergeCell ref="J50:J51"/>
    <mergeCell ref="A46:A47"/>
    <mergeCell ref="G46:G47"/>
    <mergeCell ref="H46:H47"/>
    <mergeCell ref="J46:J47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11:A12"/>
    <mergeCell ref="G11:G12"/>
    <mergeCell ref="H11:H12"/>
    <mergeCell ref="J11:J12"/>
    <mergeCell ref="A13:A14"/>
    <mergeCell ref="G13:G14"/>
    <mergeCell ref="H13:H14"/>
    <mergeCell ref="J13:J14"/>
    <mergeCell ref="A5:K5"/>
    <mergeCell ref="A6:A7"/>
    <mergeCell ref="G6:G7"/>
    <mergeCell ref="J6:J7"/>
    <mergeCell ref="A9:A10"/>
    <mergeCell ref="G9:G10"/>
    <mergeCell ref="J9:J10"/>
    <mergeCell ref="A1:A4"/>
    <mergeCell ref="B1:B4"/>
    <mergeCell ref="D1:E2"/>
    <mergeCell ref="K1:K3"/>
    <mergeCell ref="D3:D4"/>
    <mergeCell ref="E3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5"/>
  <sheetViews>
    <sheetView topLeftCell="A41" workbookViewId="0">
      <selection activeCell="E51" sqref="E51"/>
    </sheetView>
  </sheetViews>
  <sheetFormatPr baseColWidth="10" defaultRowHeight="15"/>
  <sheetData>
    <row r="1" spans="1:13">
      <c r="A1" s="281" t="s">
        <v>1</v>
      </c>
      <c r="B1" s="284" t="s">
        <v>108</v>
      </c>
      <c r="C1" s="71"/>
      <c r="D1" s="287" t="s">
        <v>109</v>
      </c>
      <c r="E1" s="288"/>
      <c r="F1" s="72"/>
      <c r="G1" s="73" t="s">
        <v>110</v>
      </c>
      <c r="H1" s="209" t="s">
        <v>111</v>
      </c>
      <c r="I1" s="209"/>
      <c r="J1" s="74" t="s">
        <v>110</v>
      </c>
      <c r="K1" s="291" t="s">
        <v>112</v>
      </c>
    </row>
    <row r="2" spans="1:13">
      <c r="A2" s="282"/>
      <c r="B2" s="285"/>
      <c r="C2" s="210" t="s">
        <v>113</v>
      </c>
      <c r="D2" s="289"/>
      <c r="E2" s="290"/>
      <c r="F2" s="210" t="s">
        <v>114</v>
      </c>
      <c r="G2" s="75" t="s">
        <v>115</v>
      </c>
      <c r="H2" s="210" t="s">
        <v>116</v>
      </c>
      <c r="I2" s="210" t="s">
        <v>114</v>
      </c>
      <c r="J2" s="75" t="s">
        <v>117</v>
      </c>
      <c r="K2" s="292"/>
    </row>
    <row r="3" spans="1:13">
      <c r="A3" s="282"/>
      <c r="B3" s="285"/>
      <c r="C3" s="76" t="s">
        <v>118</v>
      </c>
      <c r="D3" s="293" t="s">
        <v>119</v>
      </c>
      <c r="E3" s="293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292"/>
    </row>
    <row r="4" spans="1:13">
      <c r="A4" s="283"/>
      <c r="B4" s="286"/>
      <c r="C4" s="79"/>
      <c r="D4" s="294"/>
      <c r="E4" s="294"/>
      <c r="F4" s="212" t="s">
        <v>124</v>
      </c>
      <c r="G4" s="211" t="s">
        <v>124</v>
      </c>
      <c r="H4" s="211" t="s">
        <v>124</v>
      </c>
      <c r="I4" s="211" t="s">
        <v>124</v>
      </c>
      <c r="J4" s="211" t="s">
        <v>124</v>
      </c>
      <c r="K4" s="80" t="s">
        <v>125</v>
      </c>
    </row>
    <row r="5" spans="1:13">
      <c r="A5" s="295" t="s">
        <v>126</v>
      </c>
      <c r="B5" s="296"/>
      <c r="C5" s="296"/>
      <c r="D5" s="296"/>
      <c r="E5" s="296"/>
      <c r="F5" s="296"/>
      <c r="G5" s="296"/>
      <c r="H5" s="296"/>
      <c r="I5" s="296"/>
      <c r="J5" s="296"/>
      <c r="K5" s="297"/>
      <c r="M5" t="s">
        <v>173</v>
      </c>
    </row>
    <row r="6" spans="1:13">
      <c r="A6" s="298">
        <v>1</v>
      </c>
      <c r="B6" s="81" t="s">
        <v>178</v>
      </c>
      <c r="C6" s="82">
        <v>138.27000000000001</v>
      </c>
      <c r="D6" s="83">
        <v>48694923</v>
      </c>
      <c r="E6" s="83">
        <v>54227613</v>
      </c>
      <c r="F6" s="84">
        <v>5532690</v>
      </c>
      <c r="G6" s="300">
        <v>9699019</v>
      </c>
      <c r="H6" s="241">
        <v>44310</v>
      </c>
      <c r="I6" s="230">
        <v>5488380</v>
      </c>
      <c r="J6" s="302">
        <v>9654709</v>
      </c>
      <c r="K6" s="85">
        <v>40.01</v>
      </c>
      <c r="M6" s="164">
        <f>SUM(C6:C15)</f>
        <v>3298.83</v>
      </c>
    </row>
    <row r="7" spans="1:13">
      <c r="A7" s="299"/>
      <c r="B7" s="86" t="s">
        <v>127</v>
      </c>
      <c r="C7" s="87">
        <v>109.83</v>
      </c>
      <c r="D7" s="105">
        <v>40240459</v>
      </c>
      <c r="E7" s="105">
        <v>44406788</v>
      </c>
      <c r="F7" s="88">
        <v>4166329</v>
      </c>
      <c r="G7" s="301"/>
      <c r="H7" s="242">
        <v>0</v>
      </c>
      <c r="I7" s="230">
        <v>4166329</v>
      </c>
      <c r="J7" s="303"/>
      <c r="K7" s="85">
        <v>37.93</v>
      </c>
      <c r="M7" s="13">
        <f>SUM(C18:C29)</f>
        <v>3695.27</v>
      </c>
    </row>
    <row r="8" spans="1:13">
      <c r="A8" s="89">
        <v>2</v>
      </c>
      <c r="B8" s="86" t="s">
        <v>128</v>
      </c>
      <c r="C8" s="90">
        <v>712</v>
      </c>
      <c r="D8" s="91">
        <v>11105300</v>
      </c>
      <c r="E8" s="91">
        <v>14329800</v>
      </c>
      <c r="F8" s="101">
        <v>3224500</v>
      </c>
      <c r="G8" s="134">
        <v>3224500</v>
      </c>
      <c r="H8" s="232">
        <v>27886</v>
      </c>
      <c r="I8" s="230">
        <v>3196614</v>
      </c>
      <c r="J8" s="279">
        <v>3196614</v>
      </c>
      <c r="K8" s="85">
        <v>4.53</v>
      </c>
      <c r="M8" s="165">
        <f>SUM(C32:C40)</f>
        <v>1784.18</v>
      </c>
    </row>
    <row r="9" spans="1:13">
      <c r="A9" s="304">
        <v>3</v>
      </c>
      <c r="B9" s="86" t="s">
        <v>129</v>
      </c>
      <c r="C9" s="270">
        <v>237.33</v>
      </c>
      <c r="D9" s="94">
        <v>134637875</v>
      </c>
      <c r="E9" s="95">
        <v>139204918</v>
      </c>
      <c r="F9" s="84">
        <v>4567043</v>
      </c>
      <c r="G9" s="305">
        <v>9252738</v>
      </c>
      <c r="H9" s="96">
        <v>41468</v>
      </c>
      <c r="I9" s="244">
        <v>4525575</v>
      </c>
      <c r="J9" s="307">
        <v>9211270</v>
      </c>
      <c r="K9" s="85">
        <v>19.239999999999998</v>
      </c>
      <c r="M9" s="165">
        <f>SUM(C43:C53)</f>
        <v>5390.9</v>
      </c>
    </row>
    <row r="10" spans="1:13" ht="15.75">
      <c r="A10" s="299"/>
      <c r="B10" s="86" t="s">
        <v>130</v>
      </c>
      <c r="C10" s="270">
        <v>237.05</v>
      </c>
      <c r="D10" s="97">
        <v>129891926</v>
      </c>
      <c r="E10" s="98">
        <v>134577621</v>
      </c>
      <c r="F10" s="84">
        <v>4685695</v>
      </c>
      <c r="G10" s="306"/>
      <c r="H10" s="245">
        <v>0</v>
      </c>
      <c r="I10" s="231">
        <v>4685695</v>
      </c>
      <c r="J10" s="359"/>
      <c r="K10" s="85">
        <v>19.77</v>
      </c>
      <c r="M10" s="166">
        <f>SUM(M6:M9)</f>
        <v>14169.18</v>
      </c>
    </row>
    <row r="11" spans="1:13" ht="15.75">
      <c r="A11" s="304">
        <v>4</v>
      </c>
      <c r="B11" s="86" t="s">
        <v>131</v>
      </c>
      <c r="C11" s="270">
        <v>623.35</v>
      </c>
      <c r="D11" s="99"/>
      <c r="E11" s="100"/>
      <c r="F11" s="101">
        <v>476262</v>
      </c>
      <c r="G11" s="314">
        <v>948350</v>
      </c>
      <c r="H11" s="360">
        <v>11620</v>
      </c>
      <c r="I11" s="231">
        <v>464642</v>
      </c>
      <c r="J11" s="317">
        <v>936730</v>
      </c>
      <c r="K11" s="85">
        <v>0.76</v>
      </c>
      <c r="M11" s="166"/>
    </row>
    <row r="12" spans="1:13">
      <c r="A12" s="299"/>
      <c r="B12" s="86" t="s">
        <v>132</v>
      </c>
      <c r="C12" s="270">
        <v>618.20000000000005</v>
      </c>
      <c r="D12" s="102"/>
      <c r="E12" s="103"/>
      <c r="F12" s="101">
        <v>472088</v>
      </c>
      <c r="G12" s="301"/>
      <c r="H12" s="361"/>
      <c r="I12" s="231">
        <v>472088</v>
      </c>
      <c r="J12" s="303"/>
      <c r="K12" s="85">
        <v>0.76</v>
      </c>
    </row>
    <row r="13" spans="1:13">
      <c r="A13" s="304">
        <v>5</v>
      </c>
      <c r="B13" s="86" t="s">
        <v>133</v>
      </c>
      <c r="C13" s="104">
        <v>25.95</v>
      </c>
      <c r="D13" s="105">
        <v>0</v>
      </c>
      <c r="E13" s="105">
        <v>5219</v>
      </c>
      <c r="F13" s="84">
        <v>5219</v>
      </c>
      <c r="G13" s="314">
        <v>59613</v>
      </c>
      <c r="H13" s="392">
        <v>3744</v>
      </c>
      <c r="I13" s="231">
        <v>1475</v>
      </c>
      <c r="J13" s="317">
        <v>55869</v>
      </c>
      <c r="K13" s="85">
        <v>0</v>
      </c>
    </row>
    <row r="14" spans="1:13">
      <c r="A14" s="299"/>
      <c r="B14" s="86" t="s">
        <v>134</v>
      </c>
      <c r="C14" s="104">
        <v>300.13</v>
      </c>
      <c r="D14" s="105">
        <v>65845</v>
      </c>
      <c r="E14" s="105">
        <v>120239</v>
      </c>
      <c r="F14" s="84">
        <v>54394</v>
      </c>
      <c r="G14" s="301"/>
      <c r="H14" s="393"/>
      <c r="I14" s="271">
        <v>54394</v>
      </c>
      <c r="J14" s="303"/>
      <c r="K14" s="85">
        <v>0</v>
      </c>
    </row>
    <row r="15" spans="1:13" ht="15.75" thickBot="1">
      <c r="A15" s="106">
        <v>6</v>
      </c>
      <c r="B15" s="107" t="s">
        <v>135</v>
      </c>
      <c r="C15" s="216">
        <v>296.72000000000003</v>
      </c>
      <c r="D15" s="191">
        <v>52037398</v>
      </c>
      <c r="E15" s="191">
        <v>52342467</v>
      </c>
      <c r="F15" s="101">
        <v>305069</v>
      </c>
      <c r="G15" s="134">
        <v>305069</v>
      </c>
      <c r="H15" s="232">
        <v>13892</v>
      </c>
      <c r="I15" s="280">
        <v>291177</v>
      </c>
      <c r="J15" s="246">
        <v>291177</v>
      </c>
      <c r="K15" s="85">
        <v>1.03</v>
      </c>
    </row>
    <row r="16" spans="1:13" ht="16.5" thickTop="1" thickBot="1">
      <c r="A16" s="318" t="s">
        <v>136</v>
      </c>
      <c r="B16" s="319"/>
      <c r="C16" s="319"/>
      <c r="D16" s="319"/>
      <c r="E16" s="320"/>
      <c r="F16" s="110">
        <v>23489289</v>
      </c>
      <c r="G16" s="110">
        <v>23489289</v>
      </c>
      <c r="H16" s="110">
        <v>142920</v>
      </c>
      <c r="I16" s="110">
        <v>23346369</v>
      </c>
      <c r="J16" s="110">
        <v>23346369</v>
      </c>
      <c r="K16" s="111">
        <v>124</v>
      </c>
    </row>
    <row r="17" spans="1:11" ht="15.75" thickTop="1">
      <c r="A17" s="295" t="s">
        <v>137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7"/>
    </row>
    <row r="18" spans="1:11">
      <c r="A18" s="217">
        <v>7</v>
      </c>
      <c r="B18" s="112" t="s">
        <v>138</v>
      </c>
      <c r="C18" s="113">
        <v>317.44</v>
      </c>
      <c r="D18" s="91">
        <v>49380000</v>
      </c>
      <c r="E18" s="91">
        <v>50730000</v>
      </c>
      <c r="F18" s="84">
        <v>1350000</v>
      </c>
      <c r="G18" s="223">
        <v>1350000</v>
      </c>
      <c r="H18" s="115">
        <v>15392</v>
      </c>
      <c r="I18" s="233">
        <v>1334608</v>
      </c>
      <c r="J18" s="246">
        <v>1334608</v>
      </c>
      <c r="K18" s="85">
        <v>4.25</v>
      </c>
    </row>
    <row r="19" spans="1:11">
      <c r="A19" s="89">
        <v>8</v>
      </c>
      <c r="B19" s="116" t="s">
        <v>182</v>
      </c>
      <c r="C19" s="113">
        <v>702.51</v>
      </c>
      <c r="D19" s="193">
        <v>810618200</v>
      </c>
      <c r="E19" s="193">
        <v>815336600</v>
      </c>
      <c r="F19" s="84">
        <v>4718400</v>
      </c>
      <c r="G19" s="223">
        <v>5889486</v>
      </c>
      <c r="H19" s="272">
        <v>21482</v>
      </c>
      <c r="I19" s="235">
        <v>4696918</v>
      </c>
      <c r="J19" s="88">
        <v>5868004</v>
      </c>
      <c r="K19" s="109">
        <v>6.72</v>
      </c>
    </row>
    <row r="20" spans="1:11">
      <c r="A20" s="89"/>
      <c r="B20" s="116" t="s">
        <v>183</v>
      </c>
      <c r="C20" s="269">
        <v>236.95</v>
      </c>
      <c r="D20" s="278">
        <v>698540</v>
      </c>
      <c r="E20" s="278">
        <v>1869626</v>
      </c>
      <c r="F20" s="84">
        <v>1171086</v>
      </c>
      <c r="G20" s="223"/>
      <c r="H20" s="268">
        <v>0</v>
      </c>
      <c r="I20" s="235">
        <v>1171086</v>
      </c>
      <c r="J20" s="88"/>
      <c r="K20" s="109">
        <v>4.9400000000000004</v>
      </c>
    </row>
    <row r="21" spans="1:11">
      <c r="A21" s="89">
        <v>9</v>
      </c>
      <c r="B21" s="116" t="s">
        <v>140</v>
      </c>
      <c r="C21" s="82">
        <v>0</v>
      </c>
      <c r="D21" s="248">
        <v>695351266</v>
      </c>
      <c r="E21" s="248">
        <v>695351266</v>
      </c>
      <c r="F21" s="84">
        <v>0</v>
      </c>
      <c r="G21" s="223">
        <v>0</v>
      </c>
      <c r="H21" s="236">
        <v>12032</v>
      </c>
      <c r="I21" s="235">
        <v>0</v>
      </c>
      <c r="J21" s="237">
        <v>0</v>
      </c>
      <c r="K21" s="109">
        <v>0</v>
      </c>
    </row>
    <row r="22" spans="1:11">
      <c r="A22" s="325">
        <v>10</v>
      </c>
      <c r="B22" s="116" t="s">
        <v>141</v>
      </c>
      <c r="C22" s="120">
        <v>513.54999999999995</v>
      </c>
      <c r="D22" s="248">
        <v>678609500</v>
      </c>
      <c r="E22" s="248">
        <v>684699000</v>
      </c>
      <c r="F22" s="84">
        <v>6089500</v>
      </c>
      <c r="G22" s="314">
        <v>8839000</v>
      </c>
      <c r="H22" s="387">
        <v>55375</v>
      </c>
      <c r="I22" s="117">
        <v>6034125</v>
      </c>
      <c r="J22" s="329">
        <v>8783625</v>
      </c>
      <c r="K22" s="85">
        <v>11.86</v>
      </c>
    </row>
    <row r="23" spans="1:11">
      <c r="A23" s="326"/>
      <c r="B23" s="116" t="s">
        <v>142</v>
      </c>
      <c r="C23" s="273">
        <v>229.3</v>
      </c>
      <c r="D23" s="194">
        <v>570932500</v>
      </c>
      <c r="E23" s="194">
        <v>573682000</v>
      </c>
      <c r="F23" s="88">
        <v>2749500</v>
      </c>
      <c r="G23" s="301"/>
      <c r="H23" s="388"/>
      <c r="I23" s="235">
        <v>2749500</v>
      </c>
      <c r="J23" s="330"/>
      <c r="K23" s="85">
        <v>11.99</v>
      </c>
    </row>
    <row r="24" spans="1:11">
      <c r="A24" s="89">
        <v>11</v>
      </c>
      <c r="B24" s="116" t="s">
        <v>143</v>
      </c>
      <c r="C24" s="270">
        <v>328.58</v>
      </c>
      <c r="D24" s="195">
        <v>11959850</v>
      </c>
      <c r="E24" s="195">
        <v>12102347</v>
      </c>
      <c r="F24" s="101">
        <v>142497</v>
      </c>
      <c r="G24" s="223">
        <v>142497</v>
      </c>
      <c r="H24" s="231">
        <v>3126</v>
      </c>
      <c r="I24" s="257">
        <v>139371</v>
      </c>
      <c r="J24" s="255">
        <v>139371</v>
      </c>
      <c r="K24" s="85">
        <v>0.43</v>
      </c>
    </row>
    <row r="25" spans="1:11">
      <c r="A25" s="325">
        <v>12</v>
      </c>
      <c r="B25" s="119" t="s">
        <v>144</v>
      </c>
      <c r="C25" s="274">
        <v>8.31</v>
      </c>
      <c r="D25" s="97"/>
      <c r="E25" s="121"/>
      <c r="F25" s="275">
        <v>1807</v>
      </c>
      <c r="G25" s="331">
        <v>110506</v>
      </c>
      <c r="H25" s="389">
        <v>2554</v>
      </c>
      <c r="I25" s="231">
        <v>1807</v>
      </c>
      <c r="J25" s="375">
        <v>107952</v>
      </c>
      <c r="K25" s="85">
        <v>0.22</v>
      </c>
    </row>
    <row r="26" spans="1:11">
      <c r="A26" s="326"/>
      <c r="B26" s="119" t="s">
        <v>145</v>
      </c>
      <c r="C26" s="270">
        <v>638.66999999999996</v>
      </c>
      <c r="D26" s="97"/>
      <c r="E26" s="121"/>
      <c r="F26" s="275">
        <v>108699</v>
      </c>
      <c r="G26" s="332"/>
      <c r="H26" s="390">
        <v>0</v>
      </c>
      <c r="I26" s="231">
        <v>106145</v>
      </c>
      <c r="J26" s="376"/>
      <c r="K26" s="85">
        <v>0.17</v>
      </c>
    </row>
    <row r="27" spans="1:11">
      <c r="A27" s="106">
        <v>13</v>
      </c>
      <c r="B27" s="123" t="s">
        <v>146</v>
      </c>
      <c r="C27" s="276">
        <v>366.94</v>
      </c>
      <c r="D27" s="97"/>
      <c r="E27" s="98"/>
      <c r="F27" s="124">
        <v>108324</v>
      </c>
      <c r="G27" s="125">
        <v>108324</v>
      </c>
      <c r="H27" s="250">
        <v>3545</v>
      </c>
      <c r="I27" s="257">
        <v>104779</v>
      </c>
      <c r="J27" s="258">
        <v>104779</v>
      </c>
      <c r="K27" s="85">
        <v>0.3</v>
      </c>
    </row>
    <row r="28" spans="1:11">
      <c r="A28" s="304">
        <v>14</v>
      </c>
      <c r="B28" s="126" t="s">
        <v>147</v>
      </c>
      <c r="C28" s="277">
        <v>315.8</v>
      </c>
      <c r="D28" s="127">
        <v>48530600</v>
      </c>
      <c r="E28" s="127">
        <v>54160600</v>
      </c>
      <c r="F28" s="101">
        <v>5630000</v>
      </c>
      <c r="G28" s="309">
        <v>6261100</v>
      </c>
      <c r="H28" s="250">
        <v>57887</v>
      </c>
      <c r="I28" s="234">
        <v>5572113</v>
      </c>
      <c r="J28" s="338">
        <v>6203213</v>
      </c>
      <c r="K28" s="128">
        <v>17.829999999999998</v>
      </c>
    </row>
    <row r="29" spans="1:11" ht="15.75" thickBot="1">
      <c r="A29" s="299"/>
      <c r="B29" s="129" t="s">
        <v>148</v>
      </c>
      <c r="C29" s="270">
        <v>37.22</v>
      </c>
      <c r="D29" s="101">
        <v>85365600</v>
      </c>
      <c r="E29" s="101">
        <v>85996700</v>
      </c>
      <c r="F29" s="101">
        <v>631100</v>
      </c>
      <c r="G29" s="377"/>
      <c r="H29" s="239">
        <v>0</v>
      </c>
      <c r="I29" s="240">
        <v>631100</v>
      </c>
      <c r="J29" s="339"/>
      <c r="K29" s="128">
        <v>16.96</v>
      </c>
    </row>
    <row r="30" spans="1:11" ht="16.5" thickTop="1" thickBot="1">
      <c r="A30" s="318" t="s">
        <v>149</v>
      </c>
      <c r="B30" s="319"/>
      <c r="C30" s="319"/>
      <c r="D30" s="319"/>
      <c r="E30" s="320"/>
      <c r="F30" s="110">
        <v>22700913</v>
      </c>
      <c r="G30" s="110">
        <v>22700913</v>
      </c>
      <c r="H30" s="110">
        <v>171393</v>
      </c>
      <c r="I30" s="110">
        <v>22541552</v>
      </c>
      <c r="J30" s="110">
        <v>22541552</v>
      </c>
      <c r="K30" s="111">
        <v>76</v>
      </c>
    </row>
    <row r="31" spans="1:11" ht="15.75" thickTop="1">
      <c r="A31" s="321" t="s">
        <v>150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11">
      <c r="A32" s="298">
        <v>15</v>
      </c>
      <c r="B32" s="130" t="s">
        <v>151</v>
      </c>
      <c r="C32" s="131">
        <v>152.68</v>
      </c>
      <c r="D32" s="132">
        <v>4012821959</v>
      </c>
      <c r="E32" s="132">
        <v>4016460588</v>
      </c>
      <c r="F32" s="101">
        <v>3638629</v>
      </c>
      <c r="G32" s="379">
        <v>4234429</v>
      </c>
      <c r="H32" s="133">
        <v>22161</v>
      </c>
      <c r="I32" s="134">
        <v>3616468</v>
      </c>
      <c r="J32" s="340">
        <v>4212268</v>
      </c>
      <c r="K32" s="135">
        <v>23.83</v>
      </c>
    </row>
    <row r="33" spans="1:11">
      <c r="A33" s="299"/>
      <c r="B33" s="130" t="s">
        <v>152</v>
      </c>
      <c r="C33" s="136">
        <v>33.340000000000003</v>
      </c>
      <c r="D33" s="137">
        <v>801282900</v>
      </c>
      <c r="E33" s="137">
        <v>801878700</v>
      </c>
      <c r="F33" s="84">
        <v>595800</v>
      </c>
      <c r="G33" s="310"/>
      <c r="H33" s="101">
        <v>0</v>
      </c>
      <c r="I33" s="134">
        <v>595800</v>
      </c>
      <c r="J33" s="341"/>
      <c r="K33" s="138">
        <v>17.87</v>
      </c>
    </row>
    <row r="34" spans="1:11">
      <c r="A34" s="304">
        <v>16</v>
      </c>
      <c r="B34" s="139" t="s">
        <v>153</v>
      </c>
      <c r="C34" s="206">
        <v>223.22</v>
      </c>
      <c r="D34" s="140">
        <v>2790872708</v>
      </c>
      <c r="E34" s="140">
        <v>2801352178</v>
      </c>
      <c r="F34" s="84">
        <v>10479470</v>
      </c>
      <c r="G34" s="309">
        <v>14368812</v>
      </c>
      <c r="H34" s="141">
        <v>0</v>
      </c>
      <c r="I34" s="142">
        <v>10479470</v>
      </c>
      <c r="J34" s="342">
        <v>14189792</v>
      </c>
      <c r="K34" s="138">
        <v>46.95</v>
      </c>
    </row>
    <row r="35" spans="1:11">
      <c r="A35" s="299"/>
      <c r="B35" s="130" t="s">
        <v>154</v>
      </c>
      <c r="C35" s="206">
        <v>88.14</v>
      </c>
      <c r="D35" s="105">
        <v>2608903142</v>
      </c>
      <c r="E35" s="105">
        <v>2612792484</v>
      </c>
      <c r="F35" s="88">
        <v>3889342</v>
      </c>
      <c r="G35" s="310"/>
      <c r="H35" s="141">
        <v>179020</v>
      </c>
      <c r="I35" s="142">
        <v>3710322</v>
      </c>
      <c r="J35" s="341"/>
      <c r="K35" s="138">
        <v>44.13</v>
      </c>
    </row>
    <row r="36" spans="1:11">
      <c r="A36" s="304">
        <v>17</v>
      </c>
      <c r="B36" s="130" t="s">
        <v>155</v>
      </c>
      <c r="C36" s="206">
        <v>303.89</v>
      </c>
      <c r="D36" s="143">
        <v>691453440</v>
      </c>
      <c r="E36" s="143">
        <v>699465025</v>
      </c>
      <c r="F36" s="84">
        <v>8011585</v>
      </c>
      <c r="G36" s="309">
        <v>16497409</v>
      </c>
      <c r="H36" s="101">
        <v>100570</v>
      </c>
      <c r="I36" s="134">
        <v>7911015</v>
      </c>
      <c r="J36" s="342">
        <v>16396839</v>
      </c>
      <c r="K36" s="138">
        <v>26.36</v>
      </c>
    </row>
    <row r="37" spans="1:11">
      <c r="A37" s="299"/>
      <c r="B37" s="139" t="s">
        <v>156</v>
      </c>
      <c r="C37" s="82">
        <v>308.93</v>
      </c>
      <c r="D37" s="143">
        <v>915412032</v>
      </c>
      <c r="E37" s="143">
        <v>923897856</v>
      </c>
      <c r="F37" s="84">
        <v>8485824</v>
      </c>
      <c r="G37" s="310"/>
      <c r="H37" s="144">
        <v>0</v>
      </c>
      <c r="I37" s="134">
        <v>8485824</v>
      </c>
      <c r="J37" s="341"/>
      <c r="K37" s="138">
        <v>27.47</v>
      </c>
    </row>
    <row r="38" spans="1:11">
      <c r="A38" s="145">
        <v>18</v>
      </c>
      <c r="B38" s="130" t="s">
        <v>157</v>
      </c>
      <c r="C38" s="82">
        <v>0</v>
      </c>
      <c r="D38" s="146"/>
      <c r="E38" s="147"/>
      <c r="F38" s="148">
        <v>0</v>
      </c>
      <c r="G38" s="220">
        <v>0</v>
      </c>
      <c r="H38" s="220">
        <v>366</v>
      </c>
      <c r="I38" s="134">
        <v>0</v>
      </c>
      <c r="J38" s="134">
        <v>0</v>
      </c>
      <c r="K38" s="150">
        <v>0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20">
        <v>0</v>
      </c>
      <c r="H39" s="219">
        <v>567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673.98</v>
      </c>
      <c r="D40" s="196">
        <v>41626648</v>
      </c>
      <c r="E40" s="196">
        <v>41954739</v>
      </c>
      <c r="F40" s="84">
        <v>328091</v>
      </c>
      <c r="G40" s="219">
        <v>328091</v>
      </c>
      <c r="H40" s="84">
        <v>7275</v>
      </c>
      <c r="I40" s="134">
        <v>320816</v>
      </c>
      <c r="J40" s="231">
        <v>320816</v>
      </c>
      <c r="K40" s="138">
        <v>0.49</v>
      </c>
    </row>
    <row r="41" spans="1:11" ht="16.5" thickTop="1" thickBot="1">
      <c r="A41" s="318" t="s">
        <v>160</v>
      </c>
      <c r="B41" s="319"/>
      <c r="C41" s="319"/>
      <c r="D41" s="319"/>
      <c r="E41" s="320"/>
      <c r="F41" s="110">
        <v>35428741</v>
      </c>
      <c r="G41" s="110">
        <v>35428741</v>
      </c>
      <c r="H41" s="110">
        <v>309959</v>
      </c>
      <c r="I41" s="110">
        <v>35119715</v>
      </c>
      <c r="J41" s="110">
        <v>35119715</v>
      </c>
      <c r="K41" s="111">
        <v>187</v>
      </c>
    </row>
    <row r="42" spans="1:11" ht="15.75" thickTop="1">
      <c r="A42" s="321" t="s">
        <v>161</v>
      </c>
      <c r="B42" s="322"/>
      <c r="C42" s="322"/>
      <c r="D42" s="322"/>
      <c r="E42" s="322"/>
      <c r="F42" s="322"/>
      <c r="G42" s="322"/>
      <c r="H42" s="322"/>
      <c r="I42" s="322"/>
      <c r="J42" s="322"/>
      <c r="K42" s="323"/>
    </row>
    <row r="43" spans="1:11">
      <c r="A43" s="217">
        <v>21</v>
      </c>
      <c r="B43" s="153" t="s">
        <v>162</v>
      </c>
      <c r="C43" s="136">
        <v>705.97</v>
      </c>
      <c r="D43" s="154">
        <v>924821300</v>
      </c>
      <c r="E43" s="105">
        <v>931305440</v>
      </c>
      <c r="F43" s="84">
        <v>6484140</v>
      </c>
      <c r="G43" s="219">
        <v>6484140</v>
      </c>
      <c r="H43" s="219">
        <v>12301</v>
      </c>
      <c r="I43" s="219">
        <v>6471839</v>
      </c>
      <c r="J43" s="92">
        <v>6471839</v>
      </c>
      <c r="K43" s="150">
        <v>9.18</v>
      </c>
    </row>
    <row r="44" spans="1:11">
      <c r="A44" s="89">
        <v>22</v>
      </c>
      <c r="B44" s="155" t="s">
        <v>163</v>
      </c>
      <c r="C44" s="156">
        <v>711.5</v>
      </c>
      <c r="D44" s="157">
        <v>685142800</v>
      </c>
      <c r="E44" s="157">
        <v>688608000</v>
      </c>
      <c r="F44" s="84">
        <v>3465200</v>
      </c>
      <c r="G44" s="84">
        <v>3465200</v>
      </c>
      <c r="H44" s="84">
        <v>13661</v>
      </c>
      <c r="I44" s="219">
        <v>3451539</v>
      </c>
      <c r="J44" s="92">
        <v>3451539</v>
      </c>
      <c r="K44" s="150">
        <v>4.87</v>
      </c>
    </row>
    <row r="45" spans="1:11">
      <c r="A45" s="218">
        <v>23</v>
      </c>
      <c r="B45" s="130" t="s">
        <v>164</v>
      </c>
      <c r="C45" s="156">
        <v>714.29</v>
      </c>
      <c r="D45" s="213">
        <v>434504522</v>
      </c>
      <c r="E45" s="213">
        <v>435464334</v>
      </c>
      <c r="F45" s="84">
        <v>959812</v>
      </c>
      <c r="G45" s="84">
        <v>959812</v>
      </c>
      <c r="H45" s="101">
        <v>9952</v>
      </c>
      <c r="I45" s="84">
        <v>949860</v>
      </c>
      <c r="J45" s="92">
        <v>949860</v>
      </c>
      <c r="K45" s="150">
        <v>1.34</v>
      </c>
    </row>
    <row r="46" spans="1:11">
      <c r="A46" s="304">
        <v>24</v>
      </c>
      <c r="B46" s="197" t="s">
        <v>165</v>
      </c>
      <c r="C46" s="156">
        <v>705.29</v>
      </c>
      <c r="D46" s="157">
        <v>386946600</v>
      </c>
      <c r="E46" s="157">
        <v>389069400</v>
      </c>
      <c r="F46" s="84">
        <v>2122800</v>
      </c>
      <c r="G46" s="309">
        <v>3535800</v>
      </c>
      <c r="H46" s="314">
        <v>15919</v>
      </c>
      <c r="I46" s="101">
        <v>2106881</v>
      </c>
      <c r="J46" s="383">
        <v>3519881</v>
      </c>
      <c r="K46" s="150">
        <v>3.01</v>
      </c>
    </row>
    <row r="47" spans="1:11">
      <c r="A47" s="299"/>
      <c r="B47" s="198" t="s">
        <v>166</v>
      </c>
      <c r="C47" s="156">
        <v>668.25</v>
      </c>
      <c r="D47" s="157">
        <v>486262200</v>
      </c>
      <c r="E47" s="157">
        <v>487675200</v>
      </c>
      <c r="F47" s="84">
        <v>1413000</v>
      </c>
      <c r="G47" s="310"/>
      <c r="H47" s="391"/>
      <c r="I47" s="101">
        <v>1413000</v>
      </c>
      <c r="J47" s="384"/>
      <c r="K47" s="150">
        <v>2.11</v>
      </c>
    </row>
    <row r="48" spans="1:11">
      <c r="A48" s="304">
        <v>25</v>
      </c>
      <c r="B48" s="199" t="s">
        <v>167</v>
      </c>
      <c r="C48" s="156">
        <v>663.18</v>
      </c>
      <c r="D48" s="157">
        <v>2563966</v>
      </c>
      <c r="E48" s="157">
        <v>3309485</v>
      </c>
      <c r="F48" s="84">
        <v>745519</v>
      </c>
      <c r="G48" s="309">
        <v>1524565</v>
      </c>
      <c r="H48" s="221">
        <v>18276</v>
      </c>
      <c r="I48" s="101">
        <v>727243</v>
      </c>
      <c r="J48" s="383">
        <v>1506289</v>
      </c>
      <c r="K48" s="150">
        <v>1.1200000000000001</v>
      </c>
    </row>
    <row r="49" spans="1:11">
      <c r="A49" s="299">
        <v>21</v>
      </c>
      <c r="B49" s="126" t="s">
        <v>168</v>
      </c>
      <c r="C49" s="156">
        <v>684.85</v>
      </c>
      <c r="D49" s="200">
        <v>5505170</v>
      </c>
      <c r="E49" s="200">
        <v>6284216</v>
      </c>
      <c r="F49" s="84">
        <v>779046</v>
      </c>
      <c r="G49" s="310"/>
      <c r="H49" s="242">
        <v>0</v>
      </c>
      <c r="I49" s="222">
        <v>779046</v>
      </c>
      <c r="J49" s="384"/>
      <c r="K49" s="138">
        <v>1.1399999999999999</v>
      </c>
    </row>
    <row r="50" spans="1:11">
      <c r="A50" s="304">
        <v>26</v>
      </c>
      <c r="B50" s="126" t="s">
        <v>169</v>
      </c>
      <c r="C50" s="156">
        <v>123.32</v>
      </c>
      <c r="D50" s="105">
        <v>0</v>
      </c>
      <c r="E50" s="105">
        <v>0</v>
      </c>
      <c r="F50" s="88">
        <v>157393</v>
      </c>
      <c r="G50" s="309">
        <v>350054</v>
      </c>
      <c r="H50" s="221">
        <v>7602</v>
      </c>
      <c r="I50" s="101">
        <v>149791</v>
      </c>
      <c r="J50" s="383">
        <v>342452</v>
      </c>
      <c r="K50" s="138">
        <v>1.28</v>
      </c>
    </row>
    <row r="51" spans="1:11">
      <c r="A51" s="299"/>
      <c r="B51" s="161" t="s">
        <v>170</v>
      </c>
      <c r="C51" s="156">
        <v>152.82</v>
      </c>
      <c r="D51" s="154">
        <v>0</v>
      </c>
      <c r="E51" s="154">
        <v>0</v>
      </c>
      <c r="F51" s="88">
        <v>192661</v>
      </c>
      <c r="G51" s="310"/>
      <c r="H51" s="84">
        <v>0</v>
      </c>
      <c r="I51" s="101">
        <v>192661</v>
      </c>
      <c r="J51" s="384"/>
      <c r="K51" s="138">
        <v>1.26</v>
      </c>
    </row>
    <row r="52" spans="1:11">
      <c r="A52" s="343">
        <v>27</v>
      </c>
      <c r="B52" s="126" t="s">
        <v>103</v>
      </c>
      <c r="C52" s="93">
        <v>126.48</v>
      </c>
      <c r="D52" s="201">
        <v>594064832</v>
      </c>
      <c r="E52" s="201">
        <v>598294720</v>
      </c>
      <c r="F52" s="84">
        <v>4229888</v>
      </c>
      <c r="G52" s="314">
        <v>8911616</v>
      </c>
      <c r="H52" s="251">
        <v>97994</v>
      </c>
      <c r="I52" s="231">
        <v>4131894</v>
      </c>
      <c r="J52" s="345">
        <v>8813622</v>
      </c>
      <c r="K52" s="138">
        <v>33.44</v>
      </c>
    </row>
    <row r="53" spans="1:11" ht="15.75" thickBot="1">
      <c r="A53" s="344"/>
      <c r="B53" s="107" t="s">
        <v>104</v>
      </c>
      <c r="C53" s="163">
        <v>134.94999999999999</v>
      </c>
      <c r="D53" s="84">
        <v>620327656</v>
      </c>
      <c r="E53" s="84">
        <v>625009384</v>
      </c>
      <c r="F53" s="84">
        <v>4681728</v>
      </c>
      <c r="G53" s="337"/>
      <c r="H53" s="242">
        <v>0</v>
      </c>
      <c r="I53" s="252">
        <v>4681728</v>
      </c>
      <c r="J53" s="354"/>
      <c r="K53" s="138">
        <v>34.69</v>
      </c>
    </row>
    <row r="54" spans="1:11" ht="16.5" thickTop="1" thickBot="1">
      <c r="A54" s="347" t="s">
        <v>171</v>
      </c>
      <c r="B54" s="348"/>
      <c r="C54" s="348"/>
      <c r="D54" s="348"/>
      <c r="E54" s="349"/>
      <c r="F54" s="110">
        <v>25231187</v>
      </c>
      <c r="G54" s="110">
        <v>25231187</v>
      </c>
      <c r="H54" s="110">
        <v>175705</v>
      </c>
      <c r="I54" s="110">
        <v>25055482</v>
      </c>
      <c r="J54" s="110">
        <v>25055482</v>
      </c>
      <c r="K54" s="111">
        <v>93</v>
      </c>
    </row>
    <row r="55" spans="1:11" ht="17.25" thickTop="1" thickBot="1">
      <c r="A55" s="350" t="s">
        <v>172</v>
      </c>
      <c r="B55" s="351"/>
      <c r="C55" s="351"/>
      <c r="D55" s="351"/>
      <c r="E55" s="352"/>
      <c r="F55" s="110">
        <v>106850130</v>
      </c>
      <c r="G55" s="110">
        <v>106850130</v>
      </c>
      <c r="H55" s="110">
        <v>799977</v>
      </c>
      <c r="I55" s="110">
        <v>106063118</v>
      </c>
      <c r="J55" s="110">
        <v>106063118</v>
      </c>
      <c r="K55" s="111">
        <v>480</v>
      </c>
    </row>
  </sheetData>
  <mergeCells count="62">
    <mergeCell ref="A52:A53"/>
    <mergeCell ref="G52:G53"/>
    <mergeCell ref="J52:J53"/>
    <mergeCell ref="A54:E54"/>
    <mergeCell ref="A55:E55"/>
    <mergeCell ref="A50:A51"/>
    <mergeCell ref="G50:G51"/>
    <mergeCell ref="J50:J51"/>
    <mergeCell ref="A46:A47"/>
    <mergeCell ref="G46:G47"/>
    <mergeCell ref="H46:H47"/>
    <mergeCell ref="J46:J47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11:A12"/>
    <mergeCell ref="G11:G12"/>
    <mergeCell ref="H11:H12"/>
    <mergeCell ref="J11:J12"/>
    <mergeCell ref="A13:A14"/>
    <mergeCell ref="G13:G14"/>
    <mergeCell ref="H13:H14"/>
    <mergeCell ref="J13:J14"/>
    <mergeCell ref="A5:K5"/>
    <mergeCell ref="A6:A7"/>
    <mergeCell ref="G6:G7"/>
    <mergeCell ref="J6:J7"/>
    <mergeCell ref="A9:A10"/>
    <mergeCell ref="G9:G10"/>
    <mergeCell ref="J9:J10"/>
    <mergeCell ref="A1:A4"/>
    <mergeCell ref="B1:B4"/>
    <mergeCell ref="D1:E2"/>
    <mergeCell ref="K1:K3"/>
    <mergeCell ref="D3:D4"/>
    <mergeCell ref="E3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5"/>
  <sheetViews>
    <sheetView workbookViewId="0">
      <selection activeCell="O20" sqref="O20"/>
    </sheetView>
  </sheetViews>
  <sheetFormatPr baseColWidth="10" defaultRowHeight="15"/>
  <cols>
    <col min="1" max="1" width="3.42578125" style="424" bestFit="1" customWidth="1"/>
    <col min="2" max="2" width="13.5703125" style="424" customWidth="1"/>
    <col min="3" max="3" width="11.42578125" style="424"/>
    <col min="4" max="4" width="12.7109375" style="424" bestFit="1" customWidth="1"/>
    <col min="5" max="5" width="13.5703125" style="424" customWidth="1"/>
    <col min="6" max="6" width="11.5703125" style="424" customWidth="1"/>
    <col min="7" max="16384" width="11.42578125" style="424"/>
  </cols>
  <sheetData>
    <row r="1" spans="1:14" ht="15" customHeight="1">
      <c r="A1" s="432" t="s">
        <v>1</v>
      </c>
      <c r="B1" s="432" t="s">
        <v>108</v>
      </c>
      <c r="C1" s="433"/>
      <c r="D1" s="434" t="s">
        <v>109</v>
      </c>
      <c r="E1" s="434"/>
      <c r="F1" s="433"/>
      <c r="G1" s="435" t="s">
        <v>110</v>
      </c>
      <c r="H1" s="433" t="s">
        <v>111</v>
      </c>
      <c r="I1" s="433"/>
      <c r="J1" s="435" t="s">
        <v>110</v>
      </c>
      <c r="K1" s="436" t="s">
        <v>112</v>
      </c>
    </row>
    <row r="2" spans="1:14">
      <c r="A2" s="432"/>
      <c r="B2" s="432"/>
      <c r="C2" s="433" t="s">
        <v>113</v>
      </c>
      <c r="D2" s="434"/>
      <c r="E2" s="434"/>
      <c r="F2" s="433" t="s">
        <v>114</v>
      </c>
      <c r="G2" s="435" t="s">
        <v>115</v>
      </c>
      <c r="H2" s="433" t="s">
        <v>116</v>
      </c>
      <c r="I2" s="433" t="s">
        <v>114</v>
      </c>
      <c r="J2" s="435" t="s">
        <v>117</v>
      </c>
      <c r="K2" s="436"/>
    </row>
    <row r="3" spans="1:14">
      <c r="A3" s="432"/>
      <c r="B3" s="432"/>
      <c r="C3" s="437" t="s">
        <v>118</v>
      </c>
      <c r="D3" s="438" t="s">
        <v>119</v>
      </c>
      <c r="E3" s="438" t="s">
        <v>120</v>
      </c>
      <c r="F3" s="439" t="s">
        <v>121</v>
      </c>
      <c r="G3" s="440" t="s">
        <v>122</v>
      </c>
      <c r="H3" s="437" t="s">
        <v>110</v>
      </c>
      <c r="I3" s="439" t="s">
        <v>123</v>
      </c>
      <c r="J3" s="440" t="s">
        <v>122</v>
      </c>
      <c r="K3" s="436"/>
    </row>
    <row r="4" spans="1:14">
      <c r="A4" s="432"/>
      <c r="B4" s="432"/>
      <c r="C4" s="440"/>
      <c r="D4" s="438"/>
      <c r="E4" s="438"/>
      <c r="F4" s="437" t="s">
        <v>124</v>
      </c>
      <c r="G4" s="433" t="s">
        <v>124</v>
      </c>
      <c r="H4" s="433" t="s">
        <v>124</v>
      </c>
      <c r="I4" s="433" t="s">
        <v>124</v>
      </c>
      <c r="J4" s="433" t="s">
        <v>124</v>
      </c>
      <c r="K4" s="433" t="s">
        <v>125</v>
      </c>
    </row>
    <row r="5" spans="1:14">
      <c r="A5" s="441" t="s">
        <v>126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M5" s="424" t="s">
        <v>173</v>
      </c>
    </row>
    <row r="6" spans="1:14">
      <c r="A6" s="442">
        <v>1</v>
      </c>
      <c r="B6" s="443" t="s">
        <v>178</v>
      </c>
      <c r="C6" s="444">
        <v>158.28</v>
      </c>
      <c r="D6" s="430">
        <v>117992117</v>
      </c>
      <c r="E6" s="430">
        <v>125329642</v>
      </c>
      <c r="F6" s="445">
        <v>7337525</v>
      </c>
      <c r="G6" s="446">
        <v>13623398</v>
      </c>
      <c r="H6" s="447">
        <v>32885</v>
      </c>
      <c r="I6" s="448">
        <v>7304640</v>
      </c>
      <c r="J6" s="449">
        <v>13590513</v>
      </c>
      <c r="K6" s="450">
        <v>46.36</v>
      </c>
      <c r="M6" s="425">
        <f>SUM(C6:C15)</f>
        <v>3351.8900000000003</v>
      </c>
    </row>
    <row r="7" spans="1:14">
      <c r="A7" s="442"/>
      <c r="B7" s="443" t="s">
        <v>127</v>
      </c>
      <c r="C7" s="444">
        <v>142.37</v>
      </c>
      <c r="D7" s="430">
        <v>124584259</v>
      </c>
      <c r="E7" s="430">
        <v>130870132</v>
      </c>
      <c r="F7" s="445">
        <v>6285873</v>
      </c>
      <c r="G7" s="446"/>
      <c r="H7" s="451">
        <v>0</v>
      </c>
      <c r="I7" s="448">
        <v>6285873</v>
      </c>
      <c r="J7" s="449"/>
      <c r="K7" s="450">
        <v>44.15</v>
      </c>
      <c r="M7" s="426">
        <f>SUM(C18:C29)</f>
        <v>4177.42</v>
      </c>
    </row>
    <row r="8" spans="1:14">
      <c r="A8" s="452">
        <v>2</v>
      </c>
      <c r="B8" s="443" t="s">
        <v>128</v>
      </c>
      <c r="C8" s="453">
        <v>440.05</v>
      </c>
      <c r="D8" s="430">
        <v>254477000</v>
      </c>
      <c r="E8" s="430">
        <v>257204200</v>
      </c>
      <c r="F8" s="454">
        <v>2727200</v>
      </c>
      <c r="G8" s="454">
        <v>2727200</v>
      </c>
      <c r="H8" s="455">
        <v>14105</v>
      </c>
      <c r="I8" s="448">
        <v>2713095</v>
      </c>
      <c r="J8" s="456">
        <v>2713095</v>
      </c>
      <c r="K8" s="450">
        <v>6.2</v>
      </c>
      <c r="M8" s="427">
        <f>SUM(C32:C40)</f>
        <v>1866.9499999999998</v>
      </c>
    </row>
    <row r="9" spans="1:14">
      <c r="A9" s="442">
        <v>3</v>
      </c>
      <c r="B9" s="443" t="s">
        <v>129</v>
      </c>
      <c r="C9" s="457">
        <v>284.31</v>
      </c>
      <c r="D9" s="431">
        <v>187283412</v>
      </c>
      <c r="E9" s="431">
        <v>193448030</v>
      </c>
      <c r="F9" s="445">
        <v>6164618</v>
      </c>
      <c r="G9" s="446">
        <v>12369343</v>
      </c>
      <c r="H9" s="458">
        <v>56530</v>
      </c>
      <c r="I9" s="451">
        <v>6108088</v>
      </c>
      <c r="J9" s="459">
        <v>12312813</v>
      </c>
      <c r="K9" s="450">
        <v>21.68</v>
      </c>
      <c r="M9" s="427">
        <f>SUM(C43:C53)</f>
        <v>5123.1799999999985</v>
      </c>
    </row>
    <row r="10" spans="1:14" ht="15.75">
      <c r="A10" s="442"/>
      <c r="B10" s="443" t="s">
        <v>130</v>
      </c>
      <c r="C10" s="457">
        <v>291.51</v>
      </c>
      <c r="D10" s="431">
        <v>186744959</v>
      </c>
      <c r="E10" s="431">
        <v>192949684</v>
      </c>
      <c r="F10" s="445">
        <v>6204725</v>
      </c>
      <c r="G10" s="446"/>
      <c r="H10" s="451">
        <v>0</v>
      </c>
      <c r="I10" s="451">
        <v>6204725</v>
      </c>
      <c r="J10" s="459"/>
      <c r="K10" s="450">
        <v>21.28</v>
      </c>
      <c r="M10" s="428">
        <f>SUM(M6:M9)</f>
        <v>14519.439999999999</v>
      </c>
    </row>
    <row r="11" spans="1:14" ht="15.75">
      <c r="A11" s="442">
        <v>4</v>
      </c>
      <c r="B11" s="443" t="s">
        <v>131</v>
      </c>
      <c r="C11" s="457">
        <v>740.99</v>
      </c>
      <c r="D11" s="460"/>
      <c r="E11" s="460"/>
      <c r="F11" s="454">
        <v>601374</v>
      </c>
      <c r="G11" s="446">
        <v>1203142</v>
      </c>
      <c r="H11" s="461">
        <v>10920</v>
      </c>
      <c r="I11" s="451">
        <v>590454</v>
      </c>
      <c r="J11" s="449">
        <v>1192222</v>
      </c>
      <c r="K11" s="450">
        <v>0.81</v>
      </c>
      <c r="M11" s="428"/>
    </row>
    <row r="12" spans="1:14">
      <c r="A12" s="442"/>
      <c r="B12" s="443" t="s">
        <v>132</v>
      </c>
      <c r="C12" s="457">
        <v>741.27</v>
      </c>
      <c r="D12" s="460"/>
      <c r="E12" s="460"/>
      <c r="F12" s="454">
        <v>601768</v>
      </c>
      <c r="G12" s="446"/>
      <c r="H12" s="461"/>
      <c r="I12" s="451">
        <v>601768</v>
      </c>
      <c r="J12" s="449"/>
      <c r="K12" s="450">
        <v>0.81</v>
      </c>
    </row>
    <row r="13" spans="1:14">
      <c r="A13" s="442">
        <v>5</v>
      </c>
      <c r="B13" s="443" t="s">
        <v>186</v>
      </c>
      <c r="C13" s="444">
        <v>281.02</v>
      </c>
      <c r="D13" s="430">
        <v>3313574</v>
      </c>
      <c r="E13" s="430">
        <v>3345075</v>
      </c>
      <c r="F13" s="445">
        <v>31501</v>
      </c>
      <c r="G13" s="446">
        <v>62359</v>
      </c>
      <c r="H13" s="462">
        <v>2145</v>
      </c>
      <c r="I13" s="451">
        <v>29356</v>
      </c>
      <c r="J13" s="449">
        <v>60214</v>
      </c>
      <c r="K13" s="450">
        <v>0.11</v>
      </c>
      <c r="N13" s="429"/>
    </row>
    <row r="14" spans="1:14">
      <c r="A14" s="442"/>
      <c r="B14" s="443" t="s">
        <v>134</v>
      </c>
      <c r="C14" s="444">
        <v>265.33</v>
      </c>
      <c r="D14" s="430">
        <v>3156564</v>
      </c>
      <c r="E14" s="430">
        <v>3187422</v>
      </c>
      <c r="F14" s="445">
        <v>30858</v>
      </c>
      <c r="G14" s="446"/>
      <c r="H14" s="462"/>
      <c r="I14" s="463">
        <v>30858</v>
      </c>
      <c r="J14" s="449"/>
      <c r="K14" s="450">
        <v>0.12</v>
      </c>
    </row>
    <row r="15" spans="1:14">
      <c r="A15" s="452">
        <v>6</v>
      </c>
      <c r="B15" s="443" t="s">
        <v>135</v>
      </c>
      <c r="C15" s="444">
        <v>6.76</v>
      </c>
      <c r="D15" s="464">
        <v>71541864</v>
      </c>
      <c r="E15" s="464">
        <v>71546818</v>
      </c>
      <c r="F15" s="454">
        <v>4954</v>
      </c>
      <c r="G15" s="454">
        <v>4954</v>
      </c>
      <c r="H15" s="455">
        <v>11985</v>
      </c>
      <c r="I15" s="451">
        <v>-7031</v>
      </c>
      <c r="J15" s="451">
        <v>-7031</v>
      </c>
      <c r="K15" s="450">
        <v>0.73</v>
      </c>
    </row>
    <row r="16" spans="1:14">
      <c r="A16" s="465" t="s">
        <v>136</v>
      </c>
      <c r="B16" s="465"/>
      <c r="C16" s="465"/>
      <c r="D16" s="465"/>
      <c r="E16" s="465"/>
      <c r="F16" s="466">
        <v>29990396</v>
      </c>
      <c r="G16" s="466">
        <v>29990396</v>
      </c>
      <c r="H16" s="466">
        <v>128570</v>
      </c>
      <c r="I16" s="466">
        <v>29861826</v>
      </c>
      <c r="J16" s="466">
        <v>29861826</v>
      </c>
      <c r="K16" s="466">
        <v>142</v>
      </c>
      <c r="M16" s="429">
        <f>SUM(F6:F15)</f>
        <v>29990396</v>
      </c>
    </row>
    <row r="17" spans="1:11">
      <c r="A17" s="441" t="s">
        <v>137</v>
      </c>
      <c r="B17" s="441"/>
      <c r="C17" s="441"/>
      <c r="D17" s="441"/>
      <c r="E17" s="441"/>
      <c r="F17" s="441"/>
      <c r="G17" s="441"/>
      <c r="H17" s="441"/>
      <c r="I17" s="441"/>
      <c r="J17" s="441"/>
      <c r="K17" s="441"/>
    </row>
    <row r="18" spans="1:11">
      <c r="A18" s="452">
        <v>7</v>
      </c>
      <c r="B18" s="467" t="s">
        <v>138</v>
      </c>
      <c r="C18" s="468">
        <v>151.94999999999999</v>
      </c>
      <c r="D18" s="430">
        <v>33660000</v>
      </c>
      <c r="E18" s="430">
        <v>34920000</v>
      </c>
      <c r="F18" s="445">
        <v>1260000</v>
      </c>
      <c r="G18" s="445">
        <v>1260000</v>
      </c>
      <c r="H18" s="469">
        <v>10928</v>
      </c>
      <c r="I18" s="451">
        <v>1249072</v>
      </c>
      <c r="J18" s="451">
        <v>1249072</v>
      </c>
      <c r="K18" s="450">
        <v>8.2899999999999991</v>
      </c>
    </row>
    <row r="19" spans="1:11">
      <c r="A19" s="452">
        <v>8</v>
      </c>
      <c r="B19" s="467" t="s">
        <v>182</v>
      </c>
      <c r="C19" s="470">
        <v>736.13</v>
      </c>
      <c r="D19" s="430">
        <v>1038430900</v>
      </c>
      <c r="E19" s="430">
        <v>1042990500</v>
      </c>
      <c r="F19" s="445">
        <v>4559600</v>
      </c>
      <c r="G19" s="445">
        <v>6719507</v>
      </c>
      <c r="H19" s="471">
        <v>22096</v>
      </c>
      <c r="I19" s="451">
        <v>4537504</v>
      </c>
      <c r="J19" s="445">
        <v>6697411</v>
      </c>
      <c r="K19" s="472">
        <v>6.19</v>
      </c>
    </row>
    <row r="20" spans="1:11">
      <c r="A20" s="452"/>
      <c r="B20" s="467" t="s">
        <v>187</v>
      </c>
      <c r="C20" s="470">
        <v>430.85</v>
      </c>
      <c r="D20" s="430">
        <v>0</v>
      </c>
      <c r="E20" s="430">
        <v>0</v>
      </c>
      <c r="F20" s="445">
        <v>2159907</v>
      </c>
      <c r="G20" s="445"/>
      <c r="H20" s="447">
        <v>0</v>
      </c>
      <c r="I20" s="448">
        <v>2159907</v>
      </c>
      <c r="J20" s="445"/>
      <c r="K20" s="472">
        <v>5.01</v>
      </c>
    </row>
    <row r="21" spans="1:11">
      <c r="A21" s="452">
        <v>9</v>
      </c>
      <c r="B21" s="467" t="s">
        <v>140</v>
      </c>
      <c r="C21" s="444">
        <v>735.82</v>
      </c>
      <c r="D21" s="473">
        <v>880737482</v>
      </c>
      <c r="E21" s="473">
        <v>884989736</v>
      </c>
      <c r="F21" s="445">
        <v>4252254</v>
      </c>
      <c r="G21" s="445">
        <v>4252254</v>
      </c>
      <c r="H21" s="451">
        <v>5857</v>
      </c>
      <c r="I21" s="451">
        <v>4246397</v>
      </c>
      <c r="J21" s="451">
        <v>4246397</v>
      </c>
      <c r="K21" s="472">
        <v>5.78</v>
      </c>
    </row>
    <row r="22" spans="1:11">
      <c r="A22" s="474">
        <v>10</v>
      </c>
      <c r="B22" s="467" t="s">
        <v>141</v>
      </c>
      <c r="C22" s="444">
        <v>734.82</v>
      </c>
      <c r="D22" s="473">
        <v>907557000</v>
      </c>
      <c r="E22" s="473">
        <v>915770000</v>
      </c>
      <c r="F22" s="445">
        <v>8213000</v>
      </c>
      <c r="G22" s="475">
        <v>10864000</v>
      </c>
      <c r="H22" s="476">
        <v>56995</v>
      </c>
      <c r="I22" s="477">
        <v>8156005</v>
      </c>
      <c r="J22" s="478">
        <v>10807005</v>
      </c>
      <c r="K22" s="450">
        <v>11.18</v>
      </c>
    </row>
    <row r="23" spans="1:11">
      <c r="A23" s="474"/>
      <c r="B23" s="467" t="s">
        <v>142</v>
      </c>
      <c r="C23" s="444">
        <v>331.1</v>
      </c>
      <c r="D23" s="479">
        <v>828159500</v>
      </c>
      <c r="E23" s="479">
        <v>830810500</v>
      </c>
      <c r="F23" s="445">
        <v>2651000</v>
      </c>
      <c r="G23" s="475"/>
      <c r="H23" s="476"/>
      <c r="I23" s="451">
        <v>2651000</v>
      </c>
      <c r="J23" s="478"/>
      <c r="K23" s="450">
        <v>8.01</v>
      </c>
    </row>
    <row r="24" spans="1:11">
      <c r="A24" s="452">
        <v>11</v>
      </c>
      <c r="B24" s="467" t="s">
        <v>188</v>
      </c>
      <c r="C24" s="444">
        <v>0</v>
      </c>
      <c r="D24" s="430">
        <v>15987502</v>
      </c>
      <c r="E24" s="430">
        <v>15987502</v>
      </c>
      <c r="F24" s="454">
        <v>0</v>
      </c>
      <c r="G24" s="445">
        <v>0</v>
      </c>
      <c r="H24" s="480">
        <v>1252</v>
      </c>
      <c r="I24" s="447">
        <v>0</v>
      </c>
      <c r="J24" s="447">
        <v>0</v>
      </c>
      <c r="K24" s="450">
        <v>0</v>
      </c>
    </row>
    <row r="25" spans="1:11">
      <c r="A25" s="474">
        <v>12</v>
      </c>
      <c r="B25" s="467" t="s">
        <v>144</v>
      </c>
      <c r="C25" s="444">
        <v>593.29999999999995</v>
      </c>
      <c r="D25" s="431"/>
      <c r="E25" s="431"/>
      <c r="F25" s="481">
        <v>103717</v>
      </c>
      <c r="G25" s="475">
        <v>131598</v>
      </c>
      <c r="H25" s="482">
        <v>2818</v>
      </c>
      <c r="I25" s="451">
        <v>103717</v>
      </c>
      <c r="J25" s="483">
        <v>128780</v>
      </c>
      <c r="K25" s="450">
        <v>0.17</v>
      </c>
    </row>
    <row r="26" spans="1:11">
      <c r="A26" s="474"/>
      <c r="B26" s="467" t="s">
        <v>189</v>
      </c>
      <c r="C26" s="457">
        <v>140.16999999999999</v>
      </c>
      <c r="D26" s="431"/>
      <c r="E26" s="431"/>
      <c r="F26" s="481">
        <v>27881</v>
      </c>
      <c r="G26" s="475"/>
      <c r="H26" s="482">
        <v>0</v>
      </c>
      <c r="I26" s="451">
        <v>25063</v>
      </c>
      <c r="J26" s="483"/>
      <c r="K26" s="450">
        <v>0.2</v>
      </c>
    </row>
    <row r="27" spans="1:11">
      <c r="A27" s="452">
        <v>13</v>
      </c>
      <c r="B27" s="484" t="s">
        <v>146</v>
      </c>
      <c r="C27" s="444">
        <v>0</v>
      </c>
      <c r="D27" s="431"/>
      <c r="E27" s="431"/>
      <c r="F27" s="485">
        <v>0</v>
      </c>
      <c r="G27" s="445">
        <v>0</v>
      </c>
      <c r="H27" s="447">
        <v>1941</v>
      </c>
      <c r="I27" s="447">
        <v>0</v>
      </c>
      <c r="J27" s="451">
        <v>0</v>
      </c>
      <c r="K27" s="450">
        <v>0</v>
      </c>
    </row>
    <row r="28" spans="1:11">
      <c r="A28" s="442">
        <v>14</v>
      </c>
      <c r="B28" s="443" t="s">
        <v>147</v>
      </c>
      <c r="C28" s="457">
        <v>156.9</v>
      </c>
      <c r="D28" s="486">
        <v>45619500</v>
      </c>
      <c r="E28" s="486">
        <v>49336600</v>
      </c>
      <c r="F28" s="454">
        <v>3717100</v>
      </c>
      <c r="G28" s="449">
        <v>7552400</v>
      </c>
      <c r="H28" s="447">
        <v>50282</v>
      </c>
      <c r="I28" s="447">
        <v>3666818</v>
      </c>
      <c r="J28" s="487">
        <v>7502118</v>
      </c>
      <c r="K28" s="472">
        <v>23.69</v>
      </c>
    </row>
    <row r="29" spans="1:11">
      <c r="A29" s="442"/>
      <c r="B29" s="443" t="s">
        <v>148</v>
      </c>
      <c r="C29" s="457">
        <v>166.38</v>
      </c>
      <c r="D29" s="454">
        <v>83621000</v>
      </c>
      <c r="E29" s="454">
        <v>87456300</v>
      </c>
      <c r="F29" s="454">
        <v>3835300</v>
      </c>
      <c r="G29" s="449"/>
      <c r="H29" s="447">
        <v>0</v>
      </c>
      <c r="I29" s="447">
        <v>3835300</v>
      </c>
      <c r="J29" s="487"/>
      <c r="K29" s="472">
        <v>23.05</v>
      </c>
    </row>
    <row r="30" spans="1:11">
      <c r="A30" s="465" t="s">
        <v>175</v>
      </c>
      <c r="B30" s="465"/>
      <c r="C30" s="465"/>
      <c r="D30" s="465"/>
      <c r="E30" s="465"/>
      <c r="F30" s="466">
        <v>30779759</v>
      </c>
      <c r="G30" s="466">
        <v>30779759</v>
      </c>
      <c r="H30" s="466">
        <v>152169</v>
      </c>
      <c r="I30" s="466">
        <v>30630783</v>
      </c>
      <c r="J30" s="466">
        <v>30630783</v>
      </c>
      <c r="K30" s="466">
        <v>92</v>
      </c>
    </row>
    <row r="31" spans="1:11">
      <c r="A31" s="488" t="s">
        <v>150</v>
      </c>
      <c r="B31" s="488"/>
      <c r="C31" s="488"/>
      <c r="D31" s="488"/>
      <c r="E31" s="488"/>
      <c r="F31" s="488"/>
      <c r="G31" s="488"/>
      <c r="H31" s="488"/>
      <c r="I31" s="488"/>
      <c r="J31" s="488"/>
      <c r="K31" s="488"/>
    </row>
    <row r="32" spans="1:11">
      <c r="A32" s="442">
        <v>15</v>
      </c>
      <c r="B32" s="467" t="s">
        <v>151</v>
      </c>
      <c r="C32" s="489">
        <v>92.51</v>
      </c>
      <c r="D32" s="490">
        <v>4136004621</v>
      </c>
      <c r="E32" s="490">
        <v>4138042644</v>
      </c>
      <c r="F32" s="454">
        <v>2038023</v>
      </c>
      <c r="G32" s="449">
        <v>3917123</v>
      </c>
      <c r="H32" s="454">
        <v>13698</v>
      </c>
      <c r="I32" s="454">
        <v>2024325</v>
      </c>
      <c r="J32" s="449">
        <v>3903425</v>
      </c>
      <c r="K32" s="450">
        <v>22.03</v>
      </c>
    </row>
    <row r="33" spans="1:11">
      <c r="A33" s="442"/>
      <c r="B33" s="467" t="s">
        <v>152</v>
      </c>
      <c r="C33" s="489">
        <v>81.78</v>
      </c>
      <c r="D33" s="490">
        <v>896630600</v>
      </c>
      <c r="E33" s="490">
        <v>898509700</v>
      </c>
      <c r="F33" s="445">
        <v>1879100</v>
      </c>
      <c r="G33" s="449"/>
      <c r="H33" s="454">
        <v>0</v>
      </c>
      <c r="I33" s="454">
        <v>1879100</v>
      </c>
      <c r="J33" s="449"/>
      <c r="K33" s="450">
        <v>22.98</v>
      </c>
    </row>
    <row r="34" spans="1:11">
      <c r="A34" s="442">
        <v>16</v>
      </c>
      <c r="B34" s="491" t="s">
        <v>153</v>
      </c>
      <c r="C34" s="444">
        <v>178.24</v>
      </c>
      <c r="D34" s="492">
        <v>3272899700</v>
      </c>
      <c r="E34" s="492">
        <v>3280767206</v>
      </c>
      <c r="F34" s="445">
        <v>7867506</v>
      </c>
      <c r="G34" s="449">
        <v>16118903</v>
      </c>
      <c r="H34" s="485">
        <v>0</v>
      </c>
      <c r="I34" s="493">
        <v>7867506</v>
      </c>
      <c r="J34" s="449">
        <v>15934403</v>
      </c>
      <c r="K34" s="450">
        <v>44.14</v>
      </c>
    </row>
    <row r="35" spans="1:11">
      <c r="A35" s="442"/>
      <c r="B35" s="467" t="s">
        <v>154</v>
      </c>
      <c r="C35" s="444">
        <v>192.6</v>
      </c>
      <c r="D35" s="430">
        <v>2861795427</v>
      </c>
      <c r="E35" s="430">
        <v>2870046824</v>
      </c>
      <c r="F35" s="445">
        <v>8251397</v>
      </c>
      <c r="G35" s="449"/>
      <c r="H35" s="485">
        <v>184500</v>
      </c>
      <c r="I35" s="493">
        <v>8066897</v>
      </c>
      <c r="J35" s="449"/>
      <c r="K35" s="450">
        <v>42.84</v>
      </c>
    </row>
    <row r="36" spans="1:11">
      <c r="A36" s="442">
        <v>17</v>
      </c>
      <c r="B36" s="467" t="s">
        <v>155</v>
      </c>
      <c r="C36" s="494">
        <v>292.45999999999998</v>
      </c>
      <c r="D36" s="492">
        <v>1094795008</v>
      </c>
      <c r="E36" s="492">
        <v>1102540672</v>
      </c>
      <c r="F36" s="445">
        <v>7745664</v>
      </c>
      <c r="G36" s="449">
        <v>16696088</v>
      </c>
      <c r="H36" s="454">
        <v>105854</v>
      </c>
      <c r="I36" s="454">
        <v>7639810</v>
      </c>
      <c r="J36" s="449">
        <v>16590234</v>
      </c>
      <c r="K36" s="450">
        <v>26.48</v>
      </c>
    </row>
    <row r="37" spans="1:11">
      <c r="A37" s="442"/>
      <c r="B37" s="491" t="s">
        <v>156</v>
      </c>
      <c r="C37" s="494">
        <v>353.07</v>
      </c>
      <c r="D37" s="492">
        <v>1368887680</v>
      </c>
      <c r="E37" s="492">
        <v>1377838104</v>
      </c>
      <c r="F37" s="445">
        <v>8950424</v>
      </c>
      <c r="G37" s="449"/>
      <c r="H37" s="485">
        <v>0</v>
      </c>
      <c r="I37" s="454">
        <v>8950424</v>
      </c>
      <c r="J37" s="449"/>
      <c r="K37" s="450">
        <v>25.35</v>
      </c>
    </row>
    <row r="38" spans="1:11">
      <c r="A38" s="495">
        <v>18</v>
      </c>
      <c r="B38" s="467" t="s">
        <v>157</v>
      </c>
      <c r="C38" s="444">
        <v>0</v>
      </c>
      <c r="D38" s="496"/>
      <c r="E38" s="496"/>
      <c r="F38" s="454">
        <v>0</v>
      </c>
      <c r="G38" s="454">
        <v>0</v>
      </c>
      <c r="H38" s="454">
        <v>199</v>
      </c>
      <c r="I38" s="454">
        <v>0</v>
      </c>
      <c r="J38" s="454">
        <v>0</v>
      </c>
      <c r="K38" s="450">
        <v>0</v>
      </c>
    </row>
    <row r="39" spans="1:11">
      <c r="A39" s="452">
        <v>19</v>
      </c>
      <c r="B39" s="467" t="s">
        <v>158</v>
      </c>
      <c r="C39" s="444">
        <v>0</v>
      </c>
      <c r="D39" s="496"/>
      <c r="E39" s="496"/>
      <c r="F39" s="445">
        <v>0</v>
      </c>
      <c r="G39" s="454">
        <v>0</v>
      </c>
      <c r="H39" s="445">
        <v>588</v>
      </c>
      <c r="I39" s="454">
        <v>0</v>
      </c>
      <c r="J39" s="454">
        <v>0</v>
      </c>
      <c r="K39" s="450">
        <v>0</v>
      </c>
    </row>
    <row r="40" spans="1:11">
      <c r="A40" s="452">
        <v>20</v>
      </c>
      <c r="B40" s="443" t="s">
        <v>159</v>
      </c>
      <c r="C40" s="444">
        <v>676.29</v>
      </c>
      <c r="D40" s="486">
        <v>52270690</v>
      </c>
      <c r="E40" s="486">
        <v>52544152</v>
      </c>
      <c r="F40" s="445">
        <v>273462</v>
      </c>
      <c r="G40" s="445">
        <v>273462</v>
      </c>
      <c r="H40" s="445">
        <v>7163</v>
      </c>
      <c r="I40" s="454">
        <v>266299</v>
      </c>
      <c r="J40" s="451">
        <v>266299</v>
      </c>
      <c r="K40" s="450">
        <v>0.4</v>
      </c>
    </row>
    <row r="41" spans="1:11">
      <c r="A41" s="465" t="s">
        <v>160</v>
      </c>
      <c r="B41" s="465"/>
      <c r="C41" s="465"/>
      <c r="D41" s="465"/>
      <c r="E41" s="465"/>
      <c r="F41" s="466">
        <v>37005576</v>
      </c>
      <c r="G41" s="466">
        <v>37005576</v>
      </c>
      <c r="H41" s="466">
        <v>312002</v>
      </c>
      <c r="I41" s="466">
        <v>36694361</v>
      </c>
      <c r="J41" s="466">
        <v>36694361</v>
      </c>
      <c r="K41" s="466">
        <v>184</v>
      </c>
    </row>
    <row r="42" spans="1:11">
      <c r="A42" s="488" t="s">
        <v>161</v>
      </c>
      <c r="B42" s="488"/>
      <c r="C42" s="488"/>
      <c r="D42" s="488"/>
      <c r="E42" s="488"/>
      <c r="F42" s="488"/>
      <c r="G42" s="488"/>
      <c r="H42" s="488"/>
      <c r="I42" s="488"/>
      <c r="J42" s="488"/>
      <c r="K42" s="488"/>
    </row>
    <row r="43" spans="1:11">
      <c r="A43" s="452">
        <v>21</v>
      </c>
      <c r="B43" s="467" t="s">
        <v>162</v>
      </c>
      <c r="C43" s="489">
        <v>737.05</v>
      </c>
      <c r="D43" s="430">
        <v>1169675439</v>
      </c>
      <c r="E43" s="430">
        <v>1175886532</v>
      </c>
      <c r="F43" s="445">
        <v>6211093</v>
      </c>
      <c r="G43" s="445">
        <v>6211093</v>
      </c>
      <c r="H43" s="445">
        <v>11508</v>
      </c>
      <c r="I43" s="445">
        <v>6199585</v>
      </c>
      <c r="J43" s="445">
        <v>6199585</v>
      </c>
      <c r="K43" s="450">
        <v>8.43</v>
      </c>
    </row>
    <row r="44" spans="1:11">
      <c r="A44" s="452">
        <v>22</v>
      </c>
      <c r="B44" s="467" t="s">
        <v>163</v>
      </c>
      <c r="C44" s="444">
        <v>566.63</v>
      </c>
      <c r="D44" s="490">
        <v>803072300</v>
      </c>
      <c r="E44" s="490">
        <v>805608800</v>
      </c>
      <c r="F44" s="445">
        <v>2536500</v>
      </c>
      <c r="G44" s="445">
        <v>2536500</v>
      </c>
      <c r="H44" s="445">
        <v>11966</v>
      </c>
      <c r="I44" s="445">
        <v>2524534</v>
      </c>
      <c r="J44" s="445">
        <v>2524534</v>
      </c>
      <c r="K44" s="450">
        <v>4.4800000000000004</v>
      </c>
    </row>
    <row r="45" spans="1:11">
      <c r="A45" s="452">
        <v>23</v>
      </c>
      <c r="B45" s="467" t="s">
        <v>164</v>
      </c>
      <c r="C45" s="444">
        <v>698.7</v>
      </c>
      <c r="D45" s="497">
        <v>474197767</v>
      </c>
      <c r="E45" s="497">
        <v>475623170</v>
      </c>
      <c r="F45" s="445">
        <v>1425403</v>
      </c>
      <c r="G45" s="445">
        <v>1425403</v>
      </c>
      <c r="H45" s="454">
        <v>9093</v>
      </c>
      <c r="I45" s="445">
        <v>1416310</v>
      </c>
      <c r="J45" s="445">
        <v>1416310</v>
      </c>
      <c r="K45" s="450">
        <v>2.04</v>
      </c>
    </row>
    <row r="46" spans="1:11">
      <c r="A46" s="442">
        <v>24</v>
      </c>
      <c r="B46" s="498" t="s">
        <v>165</v>
      </c>
      <c r="C46" s="444">
        <v>743.17</v>
      </c>
      <c r="D46" s="490">
        <v>463945200</v>
      </c>
      <c r="E46" s="490">
        <v>466161000</v>
      </c>
      <c r="F46" s="445">
        <v>2215800</v>
      </c>
      <c r="G46" s="449">
        <v>3824400</v>
      </c>
      <c r="H46" s="446">
        <v>14575</v>
      </c>
      <c r="I46" s="454">
        <v>2201225</v>
      </c>
      <c r="J46" s="449">
        <v>3809825</v>
      </c>
      <c r="K46" s="450">
        <v>2.98</v>
      </c>
    </row>
    <row r="47" spans="1:11">
      <c r="A47" s="442"/>
      <c r="B47" s="499" t="s">
        <v>166</v>
      </c>
      <c r="C47" s="444">
        <v>711.47</v>
      </c>
      <c r="D47" s="490">
        <v>551118000</v>
      </c>
      <c r="E47" s="490">
        <v>552726600</v>
      </c>
      <c r="F47" s="445">
        <v>1608600</v>
      </c>
      <c r="G47" s="449"/>
      <c r="H47" s="446"/>
      <c r="I47" s="454">
        <v>1608600</v>
      </c>
      <c r="J47" s="449"/>
      <c r="K47" s="450">
        <v>2.2599999999999998</v>
      </c>
    </row>
    <row r="48" spans="1:11">
      <c r="A48" s="442">
        <v>25</v>
      </c>
      <c r="B48" s="500" t="s">
        <v>167</v>
      </c>
      <c r="C48" s="444">
        <v>565.66999999999996</v>
      </c>
      <c r="D48" s="490">
        <v>4813301</v>
      </c>
      <c r="E48" s="490">
        <v>5451069</v>
      </c>
      <c r="F48" s="445">
        <v>637768</v>
      </c>
      <c r="G48" s="449">
        <v>1355573</v>
      </c>
      <c r="H48" s="454">
        <v>17643</v>
      </c>
      <c r="I48" s="454">
        <v>620125</v>
      </c>
      <c r="J48" s="449">
        <v>1337930</v>
      </c>
      <c r="K48" s="450">
        <v>1.1299999999999999</v>
      </c>
    </row>
    <row r="49" spans="1:11">
      <c r="A49" s="442">
        <v>21</v>
      </c>
      <c r="B49" s="443" t="s">
        <v>168</v>
      </c>
      <c r="C49" s="444">
        <v>654.95000000000005</v>
      </c>
      <c r="D49" s="497">
        <v>4092088</v>
      </c>
      <c r="E49" s="497">
        <v>4809893</v>
      </c>
      <c r="F49" s="445">
        <v>717805</v>
      </c>
      <c r="G49" s="449"/>
      <c r="H49" s="451">
        <v>0</v>
      </c>
      <c r="I49" s="454">
        <v>717805</v>
      </c>
      <c r="J49" s="449"/>
      <c r="K49" s="450">
        <v>1.1000000000000001</v>
      </c>
    </row>
    <row r="50" spans="1:11">
      <c r="A50" s="452">
        <v>26</v>
      </c>
      <c r="B50" s="443" t="s">
        <v>169</v>
      </c>
      <c r="C50" s="444">
        <v>107.53</v>
      </c>
      <c r="D50" s="430">
        <v>0</v>
      </c>
      <c r="E50" s="430">
        <v>0</v>
      </c>
      <c r="F50" s="445">
        <v>108761</v>
      </c>
      <c r="G50" s="449">
        <v>226216</v>
      </c>
      <c r="H50" s="454">
        <v>5931</v>
      </c>
      <c r="I50" s="454">
        <v>102830</v>
      </c>
      <c r="J50" s="449">
        <v>220285</v>
      </c>
      <c r="K50" s="450">
        <v>1.01</v>
      </c>
    </row>
    <row r="51" spans="1:11">
      <c r="A51" s="452"/>
      <c r="B51" s="443" t="s">
        <v>170</v>
      </c>
      <c r="C51" s="444">
        <v>118.48</v>
      </c>
      <c r="D51" s="486">
        <v>0</v>
      </c>
      <c r="E51" s="486">
        <v>0</v>
      </c>
      <c r="F51" s="445">
        <v>117455</v>
      </c>
      <c r="G51" s="449"/>
      <c r="H51" s="445">
        <v>0</v>
      </c>
      <c r="I51" s="447">
        <v>117455</v>
      </c>
      <c r="J51" s="449"/>
      <c r="K51" s="450">
        <v>0.99</v>
      </c>
    </row>
    <row r="52" spans="1:11">
      <c r="A52" s="442">
        <v>27</v>
      </c>
      <c r="B52" s="443" t="s">
        <v>103</v>
      </c>
      <c r="C52" s="444">
        <v>109.75</v>
      </c>
      <c r="D52" s="486">
        <v>845505604</v>
      </c>
      <c r="E52" s="486">
        <v>849105472</v>
      </c>
      <c r="F52" s="445">
        <v>3599868</v>
      </c>
      <c r="G52" s="446">
        <v>7287302</v>
      </c>
      <c r="H52" s="480">
        <v>92950</v>
      </c>
      <c r="I52" s="451">
        <v>3506918</v>
      </c>
      <c r="J52" s="501">
        <v>7194352</v>
      </c>
      <c r="K52" s="450">
        <v>32.799999999999997</v>
      </c>
    </row>
    <row r="53" spans="1:11">
      <c r="A53" s="442"/>
      <c r="B53" s="443" t="s">
        <v>104</v>
      </c>
      <c r="C53" s="489">
        <v>109.78</v>
      </c>
      <c r="D53" s="445">
        <v>878595526</v>
      </c>
      <c r="E53" s="445">
        <v>882282960</v>
      </c>
      <c r="F53" s="445">
        <v>3687434</v>
      </c>
      <c r="G53" s="446"/>
      <c r="H53" s="451">
        <v>0</v>
      </c>
      <c r="I53" s="451">
        <v>3687434</v>
      </c>
      <c r="J53" s="501"/>
      <c r="K53" s="450">
        <v>33.590000000000003</v>
      </c>
    </row>
    <row r="54" spans="1:11">
      <c r="A54" s="502" t="s">
        <v>171</v>
      </c>
      <c r="B54" s="502"/>
      <c r="C54" s="502"/>
      <c r="D54" s="502"/>
      <c r="E54" s="502"/>
      <c r="F54" s="466">
        <v>22866487</v>
      </c>
      <c r="G54" s="466">
        <v>22866487</v>
      </c>
      <c r="H54" s="466">
        <v>163666</v>
      </c>
      <c r="I54" s="466">
        <v>22702821</v>
      </c>
      <c r="J54" s="466">
        <v>22702821</v>
      </c>
      <c r="K54" s="466">
        <v>91</v>
      </c>
    </row>
    <row r="55" spans="1:11" ht="15.75">
      <c r="A55" s="503" t="s">
        <v>172</v>
      </c>
      <c r="B55" s="503"/>
      <c r="C55" s="503"/>
      <c r="D55" s="503"/>
      <c r="E55" s="503"/>
      <c r="F55" s="466">
        <v>120642218</v>
      </c>
      <c r="G55" s="466">
        <v>120642218</v>
      </c>
      <c r="H55" s="466">
        <v>756407</v>
      </c>
      <c r="I55" s="466">
        <v>119889791</v>
      </c>
      <c r="J55" s="466">
        <v>119889791</v>
      </c>
      <c r="K55" s="466">
        <v>509</v>
      </c>
    </row>
  </sheetData>
  <mergeCells count="61">
    <mergeCell ref="A52:A53"/>
    <mergeCell ref="G52:G53"/>
    <mergeCell ref="J52:J53"/>
    <mergeCell ref="A54:E54"/>
    <mergeCell ref="A55:E55"/>
    <mergeCell ref="G50:G51"/>
    <mergeCell ref="J50:J51"/>
    <mergeCell ref="A46:A47"/>
    <mergeCell ref="G46:G47"/>
    <mergeCell ref="H46:H47"/>
    <mergeCell ref="J46:J47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11:A12"/>
    <mergeCell ref="G11:G12"/>
    <mergeCell ref="H11:H12"/>
    <mergeCell ref="J11:J12"/>
    <mergeCell ref="A13:A14"/>
    <mergeCell ref="G13:G14"/>
    <mergeCell ref="H13:H14"/>
    <mergeCell ref="J13:J14"/>
    <mergeCell ref="A5:K5"/>
    <mergeCell ref="A6:A7"/>
    <mergeCell ref="G6:G7"/>
    <mergeCell ref="J6:J7"/>
    <mergeCell ref="A9:A10"/>
    <mergeCell ref="G9:G10"/>
    <mergeCell ref="J9:J10"/>
    <mergeCell ref="A1:A4"/>
    <mergeCell ref="B1:B4"/>
    <mergeCell ref="D1:E2"/>
    <mergeCell ref="K1:K3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0"/>
  <sheetViews>
    <sheetView zoomScale="85" zoomScaleNormal="85" workbookViewId="0">
      <selection activeCell="N24" sqref="A1:XFD1048576"/>
    </sheetView>
  </sheetViews>
  <sheetFormatPr baseColWidth="10" defaultRowHeight="15"/>
  <cols>
    <col min="1" max="1" width="3.42578125" style="424" bestFit="1" customWidth="1"/>
    <col min="2" max="2" width="17.5703125" style="424" bestFit="1" customWidth="1"/>
    <col min="3" max="3" width="10.5703125" style="424" customWidth="1"/>
    <col min="4" max="4" width="12.7109375" style="424" customWidth="1"/>
    <col min="5" max="5" width="12.7109375" style="424" bestFit="1" customWidth="1"/>
    <col min="6" max="8" width="11.42578125" style="424"/>
    <col min="9" max="9" width="11.28515625" style="424" bestFit="1" customWidth="1"/>
    <col min="10" max="10" width="11.42578125" style="424"/>
    <col min="11" max="11" width="11" style="515"/>
    <col min="12" max="16384" width="11.42578125" style="424"/>
  </cols>
  <sheetData>
    <row r="1" spans="1:13">
      <c r="A1" s="432" t="s">
        <v>1</v>
      </c>
      <c r="B1" s="432" t="s">
        <v>108</v>
      </c>
      <c r="C1" s="504"/>
      <c r="D1" s="434" t="s">
        <v>109</v>
      </c>
      <c r="E1" s="505"/>
      <c r="F1" s="433"/>
      <c r="G1" s="435" t="s">
        <v>110</v>
      </c>
      <c r="H1" s="433" t="s">
        <v>111</v>
      </c>
      <c r="I1" s="433"/>
      <c r="J1" s="435" t="s">
        <v>110</v>
      </c>
      <c r="K1" s="436" t="s">
        <v>112</v>
      </c>
    </row>
    <row r="2" spans="1:13">
      <c r="A2" s="505"/>
      <c r="B2" s="432"/>
      <c r="C2" s="433" t="s">
        <v>113</v>
      </c>
      <c r="D2" s="505"/>
      <c r="E2" s="505"/>
      <c r="F2" s="433" t="s">
        <v>114</v>
      </c>
      <c r="G2" s="435" t="s">
        <v>115</v>
      </c>
      <c r="H2" s="433" t="s">
        <v>116</v>
      </c>
      <c r="I2" s="433" t="s">
        <v>114</v>
      </c>
      <c r="J2" s="435" t="s">
        <v>117</v>
      </c>
      <c r="K2" s="506"/>
    </row>
    <row r="3" spans="1:13">
      <c r="A3" s="505"/>
      <c r="B3" s="432"/>
      <c r="C3" s="437" t="s">
        <v>118</v>
      </c>
      <c r="D3" s="438" t="s">
        <v>119</v>
      </c>
      <c r="E3" s="438" t="s">
        <v>120</v>
      </c>
      <c r="F3" s="439" t="s">
        <v>121</v>
      </c>
      <c r="G3" s="440" t="s">
        <v>122</v>
      </c>
      <c r="H3" s="437" t="s">
        <v>110</v>
      </c>
      <c r="I3" s="439" t="s">
        <v>123</v>
      </c>
      <c r="J3" s="440" t="s">
        <v>122</v>
      </c>
      <c r="K3" s="506"/>
    </row>
    <row r="4" spans="1:13">
      <c r="A4" s="505"/>
      <c r="B4" s="432"/>
      <c r="C4" s="440"/>
      <c r="D4" s="505"/>
      <c r="E4" s="505"/>
      <c r="F4" s="437" t="s">
        <v>124</v>
      </c>
      <c r="G4" s="433" t="s">
        <v>124</v>
      </c>
      <c r="H4" s="433" t="s">
        <v>124</v>
      </c>
      <c r="I4" s="433" t="s">
        <v>124</v>
      </c>
      <c r="J4" s="433" t="s">
        <v>124</v>
      </c>
      <c r="K4" s="433" t="s">
        <v>125</v>
      </c>
    </row>
    <row r="5" spans="1:13">
      <c r="A5" s="441" t="s">
        <v>126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M5" s="424" t="s">
        <v>173</v>
      </c>
    </row>
    <row r="6" spans="1:13">
      <c r="A6" s="442">
        <v>1</v>
      </c>
      <c r="B6" s="443" t="s">
        <v>178</v>
      </c>
      <c r="C6" s="444">
        <v>136.08000000000001</v>
      </c>
      <c r="D6" s="430">
        <v>125329642</v>
      </c>
      <c r="E6" s="430">
        <v>131464098</v>
      </c>
      <c r="F6" s="445">
        <v>6134456</v>
      </c>
      <c r="G6" s="446">
        <v>11964190</v>
      </c>
      <c r="H6" s="447">
        <v>28319</v>
      </c>
      <c r="I6" s="448">
        <v>6106137</v>
      </c>
      <c r="J6" s="449">
        <v>11935871</v>
      </c>
      <c r="K6" s="507">
        <v>45.08</v>
      </c>
      <c r="M6" s="427">
        <f>SUM(C6:C15)</f>
        <v>3507.5299999999997</v>
      </c>
    </row>
    <row r="7" spans="1:13">
      <c r="A7" s="442"/>
      <c r="B7" s="443" t="s">
        <v>127</v>
      </c>
      <c r="C7" s="444">
        <v>133</v>
      </c>
      <c r="D7" s="430">
        <v>130870132</v>
      </c>
      <c r="E7" s="430">
        <v>136699866</v>
      </c>
      <c r="F7" s="445">
        <v>5829734</v>
      </c>
      <c r="G7" s="446"/>
      <c r="H7" s="451">
        <v>0</v>
      </c>
      <c r="I7" s="448">
        <v>5829734</v>
      </c>
      <c r="J7" s="449"/>
      <c r="K7" s="507">
        <v>43.83</v>
      </c>
      <c r="M7" s="426">
        <f>SUM(C18:C29)</f>
        <v>3090.03</v>
      </c>
    </row>
    <row r="8" spans="1:13">
      <c r="A8" s="452">
        <v>2</v>
      </c>
      <c r="B8" s="443" t="s">
        <v>128</v>
      </c>
      <c r="C8" s="453">
        <v>651.9</v>
      </c>
      <c r="D8" s="430">
        <v>257204200</v>
      </c>
      <c r="E8" s="430">
        <v>261268200</v>
      </c>
      <c r="F8" s="454">
        <v>4064000</v>
      </c>
      <c r="G8" s="454">
        <v>4064000</v>
      </c>
      <c r="H8" s="455">
        <v>23251</v>
      </c>
      <c r="I8" s="448">
        <v>4040749</v>
      </c>
      <c r="J8" s="456">
        <v>4040749</v>
      </c>
      <c r="K8" s="507">
        <v>6.23</v>
      </c>
      <c r="M8" s="427">
        <f>SUM(C32:C40)</f>
        <v>1644.01</v>
      </c>
    </row>
    <row r="9" spans="1:13">
      <c r="A9" s="442">
        <v>3</v>
      </c>
      <c r="B9" s="443" t="s">
        <v>129</v>
      </c>
      <c r="C9" s="457">
        <v>240.6</v>
      </c>
      <c r="D9" s="431">
        <v>193635659</v>
      </c>
      <c r="E9" s="431">
        <v>199008550</v>
      </c>
      <c r="F9" s="445">
        <v>5372891</v>
      </c>
      <c r="G9" s="446">
        <v>10421001</v>
      </c>
      <c r="H9" s="458">
        <v>49229</v>
      </c>
      <c r="I9" s="451">
        <v>5323662</v>
      </c>
      <c r="J9" s="459">
        <v>10371772</v>
      </c>
      <c r="K9" s="507">
        <v>22.33</v>
      </c>
      <c r="M9" s="427">
        <f>SUM(C43:C53)</f>
        <v>3716.61</v>
      </c>
    </row>
    <row r="10" spans="1:13" ht="15.75">
      <c r="A10" s="442"/>
      <c r="B10" s="443" t="s">
        <v>130</v>
      </c>
      <c r="C10" s="457">
        <v>227.94</v>
      </c>
      <c r="D10" s="431">
        <v>193164272</v>
      </c>
      <c r="E10" s="431">
        <v>198212382</v>
      </c>
      <c r="F10" s="445">
        <v>5048110</v>
      </c>
      <c r="G10" s="446"/>
      <c r="H10" s="451">
        <v>0</v>
      </c>
      <c r="I10" s="451">
        <v>5048110</v>
      </c>
      <c r="J10" s="459"/>
      <c r="K10" s="507">
        <v>22.15</v>
      </c>
      <c r="M10" s="428">
        <f>SUM(M6:M9)</f>
        <v>11958.18</v>
      </c>
    </row>
    <row r="11" spans="1:13">
      <c r="A11" s="442">
        <v>4</v>
      </c>
      <c r="B11" s="443" t="s">
        <v>131</v>
      </c>
      <c r="C11" s="457">
        <v>646.11</v>
      </c>
      <c r="D11" s="460"/>
      <c r="E11" s="460"/>
      <c r="F11" s="454">
        <v>487655</v>
      </c>
      <c r="G11" s="446">
        <v>975100</v>
      </c>
      <c r="H11" s="461">
        <v>9960</v>
      </c>
      <c r="I11" s="451">
        <v>477695</v>
      </c>
      <c r="J11" s="449">
        <v>965140</v>
      </c>
      <c r="K11" s="507">
        <v>0.75</v>
      </c>
    </row>
    <row r="12" spans="1:13">
      <c r="A12" s="442"/>
      <c r="B12" s="443" t="s">
        <v>132</v>
      </c>
      <c r="C12" s="457">
        <v>645.94000000000005</v>
      </c>
      <c r="D12" s="460"/>
      <c r="E12" s="460"/>
      <c r="F12" s="454">
        <v>487445</v>
      </c>
      <c r="G12" s="446"/>
      <c r="H12" s="461"/>
      <c r="I12" s="451">
        <v>487445</v>
      </c>
      <c r="J12" s="449"/>
      <c r="K12" s="507">
        <v>0.75</v>
      </c>
    </row>
    <row r="13" spans="1:13">
      <c r="A13" s="442">
        <v>5</v>
      </c>
      <c r="B13" s="443" t="s">
        <v>186</v>
      </c>
      <c r="C13" s="444">
        <v>252.43</v>
      </c>
      <c r="D13" s="430">
        <v>3345075</v>
      </c>
      <c r="E13" s="430">
        <v>3376653</v>
      </c>
      <c r="F13" s="445">
        <v>31578</v>
      </c>
      <c r="G13" s="446">
        <v>63248</v>
      </c>
      <c r="H13" s="462">
        <v>1733</v>
      </c>
      <c r="I13" s="451">
        <v>29845</v>
      </c>
      <c r="J13" s="449">
        <v>61515</v>
      </c>
      <c r="K13" s="507">
        <v>0.13</v>
      </c>
    </row>
    <row r="14" spans="1:13">
      <c r="A14" s="442"/>
      <c r="B14" s="443" t="s">
        <v>134</v>
      </c>
      <c r="C14" s="444">
        <v>247.08</v>
      </c>
      <c r="D14" s="430">
        <v>3187422</v>
      </c>
      <c r="E14" s="430">
        <v>3219092</v>
      </c>
      <c r="F14" s="445">
        <v>31670</v>
      </c>
      <c r="G14" s="446"/>
      <c r="H14" s="462"/>
      <c r="I14" s="463">
        <v>31670</v>
      </c>
      <c r="J14" s="449"/>
      <c r="K14" s="507">
        <v>0.13</v>
      </c>
    </row>
    <row r="15" spans="1:13">
      <c r="A15" s="452">
        <v>6</v>
      </c>
      <c r="B15" s="443" t="s">
        <v>135</v>
      </c>
      <c r="C15" s="444">
        <v>326.45</v>
      </c>
      <c r="D15" s="464">
        <v>71546818</v>
      </c>
      <c r="E15" s="464">
        <v>71826058</v>
      </c>
      <c r="F15" s="454">
        <v>279240</v>
      </c>
      <c r="G15" s="454">
        <v>279240</v>
      </c>
      <c r="H15" s="455">
        <v>11409</v>
      </c>
      <c r="I15" s="451">
        <v>267831</v>
      </c>
      <c r="J15" s="451">
        <v>267831</v>
      </c>
      <c r="K15" s="507">
        <v>0.86</v>
      </c>
    </row>
    <row r="16" spans="1:13">
      <c r="A16" s="465" t="s">
        <v>136</v>
      </c>
      <c r="B16" s="465"/>
      <c r="C16" s="465"/>
      <c r="D16" s="465"/>
      <c r="E16" s="465"/>
      <c r="F16" s="508">
        <v>27766779</v>
      </c>
      <c r="G16" s="508">
        <v>27766779</v>
      </c>
      <c r="H16" s="508">
        <v>123901</v>
      </c>
      <c r="I16" s="508">
        <v>27642878</v>
      </c>
      <c r="J16" s="508">
        <v>27642878</v>
      </c>
      <c r="K16" s="508">
        <v>142</v>
      </c>
    </row>
    <row r="17" spans="1:14">
      <c r="A17" s="441" t="s">
        <v>137</v>
      </c>
      <c r="B17" s="441"/>
      <c r="C17" s="441"/>
      <c r="D17" s="441"/>
      <c r="E17" s="441"/>
      <c r="F17" s="441"/>
      <c r="G17" s="441"/>
      <c r="H17" s="441"/>
      <c r="I17" s="441"/>
      <c r="J17" s="441"/>
      <c r="K17" s="441"/>
      <c r="N17" s="429">
        <f>SUM(F6:F15)</f>
        <v>27766779</v>
      </c>
    </row>
    <row r="18" spans="1:14">
      <c r="A18" s="452">
        <v>7</v>
      </c>
      <c r="B18" s="467" t="s">
        <v>138</v>
      </c>
      <c r="C18" s="468">
        <v>163.72</v>
      </c>
      <c r="D18" s="430">
        <v>34920000</v>
      </c>
      <c r="E18" s="430">
        <v>36270000</v>
      </c>
      <c r="F18" s="445">
        <v>1350000</v>
      </c>
      <c r="G18" s="445">
        <v>1350000</v>
      </c>
      <c r="H18" s="469">
        <v>10208</v>
      </c>
      <c r="I18" s="451">
        <v>1339792</v>
      </c>
      <c r="J18" s="451">
        <v>1339792</v>
      </c>
      <c r="K18" s="507">
        <v>8.25</v>
      </c>
    </row>
    <row r="19" spans="1:14">
      <c r="A19" s="452">
        <v>8</v>
      </c>
      <c r="B19" s="467" t="s">
        <v>182</v>
      </c>
      <c r="C19" s="470">
        <v>665.68</v>
      </c>
      <c r="D19" s="430">
        <v>1042990500</v>
      </c>
      <c r="E19" s="480">
        <v>1047055100</v>
      </c>
      <c r="F19" s="445">
        <v>4064600</v>
      </c>
      <c r="G19" s="445">
        <v>5252262</v>
      </c>
      <c r="H19" s="471">
        <v>17003</v>
      </c>
      <c r="I19" s="451">
        <v>4047597</v>
      </c>
      <c r="J19" s="445">
        <v>5235259</v>
      </c>
      <c r="K19" s="509">
        <v>6.11</v>
      </c>
    </row>
    <row r="20" spans="1:14">
      <c r="A20" s="452"/>
      <c r="B20" s="467" t="s">
        <v>187</v>
      </c>
      <c r="C20" s="470">
        <v>237.53</v>
      </c>
      <c r="D20" s="430">
        <v>0</v>
      </c>
      <c r="E20" s="480">
        <v>0</v>
      </c>
      <c r="F20" s="445">
        <v>1187662</v>
      </c>
      <c r="G20" s="445"/>
      <c r="H20" s="447">
        <v>0</v>
      </c>
      <c r="I20" s="448">
        <v>1187662</v>
      </c>
      <c r="J20" s="445"/>
      <c r="K20" s="509">
        <v>5</v>
      </c>
    </row>
    <row r="21" spans="1:14">
      <c r="A21" s="452">
        <v>9</v>
      </c>
      <c r="B21" s="467" t="s">
        <v>140</v>
      </c>
      <c r="C21" s="470">
        <v>631.57000000000005</v>
      </c>
      <c r="D21" s="473">
        <v>884989736</v>
      </c>
      <c r="E21" s="473">
        <v>887721601</v>
      </c>
      <c r="F21" s="445">
        <v>2731865</v>
      </c>
      <c r="G21" s="445">
        <v>2731865</v>
      </c>
      <c r="H21" s="451">
        <v>5103</v>
      </c>
      <c r="I21" s="451">
        <v>2726762</v>
      </c>
      <c r="J21" s="451">
        <v>2726762</v>
      </c>
      <c r="K21" s="509">
        <v>4.33</v>
      </c>
    </row>
    <row r="22" spans="1:14">
      <c r="A22" s="474">
        <v>10</v>
      </c>
      <c r="B22" s="467" t="s">
        <v>141</v>
      </c>
      <c r="C22" s="470">
        <v>472.5</v>
      </c>
      <c r="D22" s="473">
        <v>915770000</v>
      </c>
      <c r="E22" s="473">
        <v>921220000</v>
      </c>
      <c r="F22" s="445">
        <v>5450000</v>
      </c>
      <c r="G22" s="475">
        <v>6255500</v>
      </c>
      <c r="H22" s="476">
        <v>39770</v>
      </c>
      <c r="I22" s="477">
        <v>5410230</v>
      </c>
      <c r="J22" s="446">
        <v>6215730</v>
      </c>
      <c r="K22" s="507">
        <v>11.53</v>
      </c>
    </row>
    <row r="23" spans="1:14">
      <c r="A23" s="474"/>
      <c r="B23" s="467" t="s">
        <v>142</v>
      </c>
      <c r="C23" s="470">
        <v>95.15</v>
      </c>
      <c r="D23" s="479">
        <v>830810500</v>
      </c>
      <c r="E23" s="479">
        <v>831616000</v>
      </c>
      <c r="F23" s="445">
        <v>805500</v>
      </c>
      <c r="G23" s="475"/>
      <c r="H23" s="510"/>
      <c r="I23" s="451">
        <v>805500</v>
      </c>
      <c r="J23" s="446"/>
      <c r="K23" s="507">
        <v>8.4700000000000006</v>
      </c>
    </row>
    <row r="24" spans="1:14">
      <c r="A24" s="452">
        <v>11</v>
      </c>
      <c r="B24" s="467" t="s">
        <v>188</v>
      </c>
      <c r="C24" s="444">
        <v>0</v>
      </c>
      <c r="D24" s="430">
        <v>15987502</v>
      </c>
      <c r="E24" s="430">
        <v>15987502</v>
      </c>
      <c r="F24" s="454">
        <v>0</v>
      </c>
      <c r="G24" s="445">
        <v>0</v>
      </c>
      <c r="H24" s="480">
        <v>1123</v>
      </c>
      <c r="I24" s="447">
        <v>0</v>
      </c>
      <c r="J24" s="451">
        <v>0</v>
      </c>
      <c r="K24" s="507">
        <v>0</v>
      </c>
    </row>
    <row r="25" spans="1:14">
      <c r="A25" s="474">
        <v>12</v>
      </c>
      <c r="B25" s="467" t="s">
        <v>144</v>
      </c>
      <c r="C25" s="444">
        <v>633.65</v>
      </c>
      <c r="D25" s="431"/>
      <c r="E25" s="431"/>
      <c r="F25" s="481">
        <v>92630</v>
      </c>
      <c r="G25" s="475">
        <v>92630</v>
      </c>
      <c r="H25" s="482">
        <v>2479</v>
      </c>
      <c r="I25" s="451">
        <v>92630</v>
      </c>
      <c r="J25" s="446">
        <v>90151</v>
      </c>
      <c r="K25" s="507">
        <v>0.15</v>
      </c>
    </row>
    <row r="26" spans="1:14">
      <c r="A26" s="474"/>
      <c r="B26" s="467" t="s">
        <v>189</v>
      </c>
      <c r="C26" s="457">
        <v>0</v>
      </c>
      <c r="D26" s="431"/>
      <c r="E26" s="431"/>
      <c r="F26" s="481">
        <v>0</v>
      </c>
      <c r="G26" s="475"/>
      <c r="H26" s="511">
        <v>0</v>
      </c>
      <c r="I26" s="451">
        <v>-2479</v>
      </c>
      <c r="J26" s="446"/>
      <c r="K26" s="507" t="e">
        <v>#DIV/0!</v>
      </c>
    </row>
    <row r="27" spans="1:14">
      <c r="A27" s="452">
        <v>13</v>
      </c>
      <c r="B27" s="484" t="s">
        <v>146</v>
      </c>
      <c r="C27" s="444">
        <v>0</v>
      </c>
      <c r="D27" s="431"/>
      <c r="E27" s="431"/>
      <c r="F27" s="485">
        <v>0</v>
      </c>
      <c r="G27" s="445">
        <v>0</v>
      </c>
      <c r="H27" s="447">
        <v>1598</v>
      </c>
      <c r="I27" s="447">
        <v>0</v>
      </c>
      <c r="J27" s="451">
        <v>0</v>
      </c>
      <c r="K27" s="507">
        <v>0</v>
      </c>
    </row>
    <row r="28" spans="1:14">
      <c r="A28" s="442">
        <v>14</v>
      </c>
      <c r="B28" s="443" t="s">
        <v>147</v>
      </c>
      <c r="C28" s="457">
        <v>183.7</v>
      </c>
      <c r="D28" s="486">
        <v>49336600</v>
      </c>
      <c r="E28" s="486">
        <v>53732200</v>
      </c>
      <c r="F28" s="454">
        <v>4395600</v>
      </c>
      <c r="G28" s="449">
        <v>4545900</v>
      </c>
      <c r="H28" s="447">
        <v>36506</v>
      </c>
      <c r="I28" s="447">
        <v>4359094</v>
      </c>
      <c r="J28" s="449">
        <v>4509394</v>
      </c>
      <c r="K28" s="509">
        <v>23.93</v>
      </c>
    </row>
    <row r="29" spans="1:14">
      <c r="A29" s="442"/>
      <c r="B29" s="443" t="s">
        <v>148</v>
      </c>
      <c r="C29" s="457">
        <v>6.53</v>
      </c>
      <c r="D29" s="454">
        <v>87456300</v>
      </c>
      <c r="E29" s="454">
        <v>87606600</v>
      </c>
      <c r="F29" s="454">
        <v>150300</v>
      </c>
      <c r="G29" s="449"/>
      <c r="H29" s="447">
        <v>0</v>
      </c>
      <c r="I29" s="447">
        <v>150300</v>
      </c>
      <c r="J29" s="449"/>
      <c r="K29" s="509">
        <v>23.02</v>
      </c>
    </row>
    <row r="30" spans="1:14">
      <c r="A30" s="465" t="s">
        <v>175</v>
      </c>
      <c r="B30" s="465"/>
      <c r="C30" s="465"/>
      <c r="D30" s="465"/>
      <c r="E30" s="465"/>
      <c r="F30" s="508">
        <v>20228157</v>
      </c>
      <c r="G30" s="508">
        <v>20228157</v>
      </c>
      <c r="H30" s="508">
        <v>113790</v>
      </c>
      <c r="I30" s="508">
        <v>20117088</v>
      </c>
      <c r="J30" s="508">
        <v>20117088</v>
      </c>
      <c r="K30" s="508" t="e">
        <v>#DIV/0!</v>
      </c>
    </row>
    <row r="31" spans="1:14">
      <c r="A31" s="488" t="s">
        <v>150</v>
      </c>
      <c r="B31" s="488"/>
      <c r="C31" s="488"/>
      <c r="D31" s="488"/>
      <c r="E31" s="488"/>
      <c r="F31" s="488"/>
      <c r="G31" s="488"/>
      <c r="H31" s="488"/>
      <c r="I31" s="488"/>
      <c r="J31" s="488"/>
      <c r="K31" s="488"/>
    </row>
    <row r="32" spans="1:14">
      <c r="A32" s="442">
        <v>15</v>
      </c>
      <c r="B32" s="467" t="s">
        <v>151</v>
      </c>
      <c r="C32" s="512">
        <v>93.74</v>
      </c>
      <c r="D32" s="490">
        <v>4138042644</v>
      </c>
      <c r="E32" s="490">
        <v>4140145120</v>
      </c>
      <c r="F32" s="454">
        <v>2102476</v>
      </c>
      <c r="G32" s="449">
        <v>3685576</v>
      </c>
      <c r="H32" s="454">
        <v>13270</v>
      </c>
      <c r="I32" s="454">
        <v>2089206</v>
      </c>
      <c r="J32" s="449">
        <v>3672306</v>
      </c>
      <c r="K32" s="507">
        <v>22.43</v>
      </c>
    </row>
    <row r="33" spans="1:11">
      <c r="A33" s="442"/>
      <c r="B33" s="467" t="s">
        <v>152</v>
      </c>
      <c r="C33" s="489">
        <v>71.28</v>
      </c>
      <c r="D33" s="490">
        <v>898509700</v>
      </c>
      <c r="E33" s="490">
        <v>900092800</v>
      </c>
      <c r="F33" s="445">
        <v>1583100</v>
      </c>
      <c r="G33" s="449"/>
      <c r="H33" s="454">
        <v>0</v>
      </c>
      <c r="I33" s="454">
        <v>1583100</v>
      </c>
      <c r="J33" s="449"/>
      <c r="K33" s="507">
        <v>22.21</v>
      </c>
    </row>
    <row r="34" spans="1:11">
      <c r="A34" s="442">
        <v>16</v>
      </c>
      <c r="B34" s="491" t="s">
        <v>153</v>
      </c>
      <c r="C34" s="444">
        <v>177.46</v>
      </c>
      <c r="D34" s="492">
        <v>3280767206</v>
      </c>
      <c r="E34" s="492">
        <v>3288359214</v>
      </c>
      <c r="F34" s="445">
        <v>7592008</v>
      </c>
      <c r="G34" s="449">
        <v>14555488</v>
      </c>
      <c r="H34" s="485">
        <v>0</v>
      </c>
      <c r="I34" s="493">
        <v>7592008</v>
      </c>
      <c r="J34" s="449">
        <v>14397011</v>
      </c>
      <c r="K34" s="507">
        <v>42.78</v>
      </c>
    </row>
    <row r="35" spans="1:11">
      <c r="A35" s="442"/>
      <c r="B35" s="467" t="s">
        <v>154</v>
      </c>
      <c r="C35" s="444">
        <v>164.39</v>
      </c>
      <c r="D35" s="430">
        <v>2870046824</v>
      </c>
      <c r="E35" s="430">
        <v>2877010304</v>
      </c>
      <c r="F35" s="445">
        <v>6963480</v>
      </c>
      <c r="G35" s="449"/>
      <c r="H35" s="485">
        <v>158477</v>
      </c>
      <c r="I35" s="493">
        <v>6805003</v>
      </c>
      <c r="J35" s="449"/>
      <c r="K35" s="507">
        <v>42.36</v>
      </c>
    </row>
    <row r="36" spans="1:11">
      <c r="A36" s="442">
        <v>17</v>
      </c>
      <c r="B36" s="467" t="s">
        <v>155</v>
      </c>
      <c r="C36" s="494">
        <v>273.81</v>
      </c>
      <c r="D36" s="492">
        <v>1102540672</v>
      </c>
      <c r="E36" s="492">
        <v>1109807232</v>
      </c>
      <c r="F36" s="445">
        <v>7266560</v>
      </c>
      <c r="G36" s="449">
        <v>14951040</v>
      </c>
      <c r="H36" s="454">
        <v>67156</v>
      </c>
      <c r="I36" s="454">
        <v>7199404</v>
      </c>
      <c r="J36" s="449">
        <v>14883884</v>
      </c>
      <c r="K36" s="507">
        <v>26.54</v>
      </c>
    </row>
    <row r="37" spans="1:11">
      <c r="A37" s="442"/>
      <c r="B37" s="491" t="s">
        <v>156</v>
      </c>
      <c r="C37" s="494">
        <v>291.57</v>
      </c>
      <c r="D37" s="492">
        <v>1378172032</v>
      </c>
      <c r="E37" s="492">
        <v>1385856512</v>
      </c>
      <c r="F37" s="445">
        <v>7684480</v>
      </c>
      <c r="G37" s="449"/>
      <c r="H37" s="485">
        <v>0</v>
      </c>
      <c r="I37" s="454">
        <v>7684480</v>
      </c>
      <c r="J37" s="449"/>
      <c r="K37" s="507">
        <v>26.36</v>
      </c>
    </row>
    <row r="38" spans="1:11">
      <c r="A38" s="495">
        <v>18</v>
      </c>
      <c r="B38" s="467" t="s">
        <v>157</v>
      </c>
      <c r="C38" s="444">
        <v>0</v>
      </c>
      <c r="D38" s="496"/>
      <c r="E38" s="496"/>
      <c r="F38" s="454">
        <v>0</v>
      </c>
      <c r="G38" s="454">
        <v>0</v>
      </c>
      <c r="H38" s="454">
        <v>197</v>
      </c>
      <c r="I38" s="454">
        <v>0</v>
      </c>
      <c r="J38" s="454">
        <v>0</v>
      </c>
      <c r="K38" s="507">
        <v>0</v>
      </c>
    </row>
    <row r="39" spans="1:11">
      <c r="A39" s="452">
        <v>19</v>
      </c>
      <c r="B39" s="467" t="s">
        <v>158</v>
      </c>
      <c r="C39" s="444">
        <v>0</v>
      </c>
      <c r="D39" s="496"/>
      <c r="E39" s="496"/>
      <c r="F39" s="445">
        <v>0</v>
      </c>
      <c r="G39" s="454">
        <v>0</v>
      </c>
      <c r="H39" s="445">
        <v>534</v>
      </c>
      <c r="I39" s="454">
        <v>0</v>
      </c>
      <c r="J39" s="454">
        <v>0</v>
      </c>
      <c r="K39" s="507">
        <v>0</v>
      </c>
    </row>
    <row r="40" spans="1:11">
      <c r="A40" s="452">
        <v>20</v>
      </c>
      <c r="B40" s="443" t="s">
        <v>159</v>
      </c>
      <c r="C40" s="444">
        <v>571.76</v>
      </c>
      <c r="D40" s="486">
        <v>52544152</v>
      </c>
      <c r="E40" s="486">
        <v>52843013</v>
      </c>
      <c r="F40" s="445">
        <v>298861</v>
      </c>
      <c r="G40" s="445">
        <v>298861</v>
      </c>
      <c r="H40" s="445">
        <v>6504</v>
      </c>
      <c r="I40" s="454">
        <v>292357</v>
      </c>
      <c r="J40" s="451">
        <v>292357</v>
      </c>
      <c r="K40" s="507">
        <v>0.52</v>
      </c>
    </row>
    <row r="41" spans="1:11">
      <c r="A41" s="465" t="s">
        <v>160</v>
      </c>
      <c r="B41" s="465"/>
      <c r="C41" s="465"/>
      <c r="D41" s="465"/>
      <c r="E41" s="465"/>
      <c r="F41" s="508">
        <v>33490965</v>
      </c>
      <c r="G41" s="508">
        <v>33490965</v>
      </c>
      <c r="H41" s="508">
        <v>246138</v>
      </c>
      <c r="I41" s="508">
        <v>33245558</v>
      </c>
      <c r="J41" s="508">
        <v>33245558</v>
      </c>
      <c r="K41" s="508">
        <v>183</v>
      </c>
    </row>
    <row r="42" spans="1:11">
      <c r="A42" s="488" t="s">
        <v>161</v>
      </c>
      <c r="B42" s="488"/>
      <c r="C42" s="488"/>
      <c r="D42" s="488"/>
      <c r="E42" s="488"/>
      <c r="F42" s="488"/>
      <c r="G42" s="488"/>
      <c r="H42" s="488"/>
      <c r="I42" s="488"/>
      <c r="J42" s="488"/>
      <c r="K42" s="488"/>
    </row>
    <row r="43" spans="1:11">
      <c r="A43" s="452">
        <v>21</v>
      </c>
      <c r="B43" s="467" t="s">
        <v>162</v>
      </c>
      <c r="C43" s="489">
        <v>663.71</v>
      </c>
      <c r="D43" s="430">
        <v>1175886532</v>
      </c>
      <c r="E43" s="430">
        <v>1180124087</v>
      </c>
      <c r="F43" s="445">
        <v>4237555</v>
      </c>
      <c r="G43" s="445">
        <v>4237555</v>
      </c>
      <c r="H43" s="445">
        <v>9981</v>
      </c>
      <c r="I43" s="445">
        <v>4227574</v>
      </c>
      <c r="J43" s="445">
        <v>4227574</v>
      </c>
      <c r="K43" s="507">
        <v>6.38</v>
      </c>
    </row>
    <row r="44" spans="1:11">
      <c r="A44" s="452">
        <v>22</v>
      </c>
      <c r="B44" s="467" t="s">
        <v>163</v>
      </c>
      <c r="C44" s="444">
        <v>400.07</v>
      </c>
      <c r="D44" s="490">
        <v>805608800</v>
      </c>
      <c r="E44" s="490">
        <v>806964500</v>
      </c>
      <c r="F44" s="445">
        <v>1355700</v>
      </c>
      <c r="G44" s="445">
        <v>1355700</v>
      </c>
      <c r="H44" s="445">
        <v>10059</v>
      </c>
      <c r="I44" s="445">
        <v>1345641</v>
      </c>
      <c r="J44" s="445">
        <v>1345641</v>
      </c>
      <c r="K44" s="507">
        <v>3.39</v>
      </c>
    </row>
    <row r="45" spans="1:11">
      <c r="A45" s="452">
        <v>23</v>
      </c>
      <c r="B45" s="467" t="s">
        <v>164</v>
      </c>
      <c r="C45" s="444">
        <v>651.71</v>
      </c>
      <c r="D45" s="497">
        <v>475623170</v>
      </c>
      <c r="E45" s="497">
        <v>476970075</v>
      </c>
      <c r="F45" s="445">
        <v>1346905</v>
      </c>
      <c r="G45" s="445">
        <v>1346905</v>
      </c>
      <c r="H45" s="454">
        <v>8037</v>
      </c>
      <c r="I45" s="445">
        <v>1338868</v>
      </c>
      <c r="J45" s="445">
        <v>1338868</v>
      </c>
      <c r="K45" s="507">
        <v>2.0699999999999998</v>
      </c>
    </row>
    <row r="46" spans="1:11">
      <c r="A46" s="442">
        <v>24</v>
      </c>
      <c r="B46" s="498" t="s">
        <v>165</v>
      </c>
      <c r="C46" s="444">
        <v>654.92999999999995</v>
      </c>
      <c r="D46" s="490">
        <v>466161000</v>
      </c>
      <c r="E46" s="490">
        <v>467978400</v>
      </c>
      <c r="F46" s="445">
        <v>1817400</v>
      </c>
      <c r="G46" s="449">
        <v>3274800</v>
      </c>
      <c r="H46" s="446">
        <v>12875</v>
      </c>
      <c r="I46" s="454">
        <v>1804525</v>
      </c>
      <c r="J46" s="449">
        <v>3261925</v>
      </c>
      <c r="K46" s="507">
        <v>2.77</v>
      </c>
    </row>
    <row r="47" spans="1:11">
      <c r="A47" s="442"/>
      <c r="B47" s="499" t="s">
        <v>166</v>
      </c>
      <c r="C47" s="444">
        <v>653.98</v>
      </c>
      <c r="D47" s="490">
        <v>552726600</v>
      </c>
      <c r="E47" s="490">
        <v>554184000</v>
      </c>
      <c r="F47" s="445">
        <v>1457400</v>
      </c>
      <c r="G47" s="449"/>
      <c r="H47" s="513"/>
      <c r="I47" s="454">
        <v>1457400</v>
      </c>
      <c r="J47" s="449"/>
      <c r="K47" s="507">
        <v>2.23</v>
      </c>
    </row>
    <row r="48" spans="1:11">
      <c r="A48" s="442">
        <v>25</v>
      </c>
      <c r="B48" s="500" t="s">
        <v>167</v>
      </c>
      <c r="C48" s="444">
        <v>259.60000000000002</v>
      </c>
      <c r="D48" s="490">
        <v>5451069</v>
      </c>
      <c r="E48" s="490">
        <v>5723916</v>
      </c>
      <c r="F48" s="445">
        <v>272847</v>
      </c>
      <c r="G48" s="449">
        <v>550604</v>
      </c>
      <c r="H48" s="454">
        <v>13765</v>
      </c>
      <c r="I48" s="454">
        <v>259082</v>
      </c>
      <c r="J48" s="449">
        <v>536839</v>
      </c>
      <c r="K48" s="507">
        <v>1.05</v>
      </c>
    </row>
    <row r="49" spans="1:11">
      <c r="A49" s="442">
        <v>21</v>
      </c>
      <c r="B49" s="443" t="s">
        <v>168</v>
      </c>
      <c r="C49" s="444">
        <v>264.23</v>
      </c>
      <c r="D49" s="497">
        <v>4809893</v>
      </c>
      <c r="E49" s="497">
        <v>5087650</v>
      </c>
      <c r="F49" s="445">
        <v>277757</v>
      </c>
      <c r="G49" s="449"/>
      <c r="H49" s="451">
        <v>0</v>
      </c>
      <c r="I49" s="454">
        <v>277757</v>
      </c>
      <c r="J49" s="449"/>
      <c r="K49" s="507">
        <v>1.05</v>
      </c>
    </row>
    <row r="50" spans="1:11">
      <c r="A50" s="442">
        <v>26</v>
      </c>
      <c r="B50" s="443" t="s">
        <v>169</v>
      </c>
      <c r="C50" s="444">
        <v>9.36</v>
      </c>
      <c r="D50" s="430">
        <v>0</v>
      </c>
      <c r="E50" s="430">
        <v>0</v>
      </c>
      <c r="F50" s="445">
        <v>11110</v>
      </c>
      <c r="G50" s="449">
        <v>11110</v>
      </c>
      <c r="H50" s="454">
        <v>5762</v>
      </c>
      <c r="I50" s="454">
        <v>5348</v>
      </c>
      <c r="J50" s="449">
        <v>5348</v>
      </c>
      <c r="K50" s="507">
        <v>1.19</v>
      </c>
    </row>
    <row r="51" spans="1:11">
      <c r="A51" s="442"/>
      <c r="B51" s="443" t="s">
        <v>170</v>
      </c>
      <c r="C51" s="444">
        <v>0</v>
      </c>
      <c r="D51" s="486">
        <v>0</v>
      </c>
      <c r="E51" s="486">
        <v>0</v>
      </c>
      <c r="F51" s="445">
        <v>0</v>
      </c>
      <c r="G51" s="449"/>
      <c r="H51" s="445">
        <v>0</v>
      </c>
      <c r="I51" s="447">
        <v>0</v>
      </c>
      <c r="J51" s="449"/>
      <c r="K51" s="507" t="e">
        <v>#DIV/0!</v>
      </c>
    </row>
    <row r="52" spans="1:11">
      <c r="A52" s="442">
        <v>27</v>
      </c>
      <c r="B52" s="443" t="s">
        <v>103</v>
      </c>
      <c r="C52" s="444">
        <v>78.77</v>
      </c>
      <c r="D52" s="486">
        <v>849105472</v>
      </c>
      <c r="E52" s="486">
        <v>851655552</v>
      </c>
      <c r="F52" s="445">
        <v>2550080</v>
      </c>
      <c r="G52" s="446">
        <v>5127808</v>
      </c>
      <c r="H52" s="480">
        <v>80590</v>
      </c>
      <c r="I52" s="451">
        <v>2469490</v>
      </c>
      <c r="J52" s="446">
        <v>5047218</v>
      </c>
      <c r="K52" s="507">
        <v>32.369999999999997</v>
      </c>
    </row>
    <row r="53" spans="1:11">
      <c r="A53" s="442"/>
      <c r="B53" s="443" t="s">
        <v>104</v>
      </c>
      <c r="C53" s="489">
        <v>80.25</v>
      </c>
      <c r="D53" s="445">
        <v>882282960</v>
      </c>
      <c r="E53" s="445">
        <v>884860688</v>
      </c>
      <c r="F53" s="445">
        <v>2577728</v>
      </c>
      <c r="G53" s="446"/>
      <c r="H53" s="451">
        <v>0</v>
      </c>
      <c r="I53" s="451">
        <v>2577728</v>
      </c>
      <c r="J53" s="446"/>
      <c r="K53" s="507">
        <v>32.119999999999997</v>
      </c>
    </row>
    <row r="54" spans="1:11">
      <c r="A54" s="502" t="s">
        <v>171</v>
      </c>
      <c r="B54" s="502"/>
      <c r="C54" s="502"/>
      <c r="D54" s="502"/>
      <c r="E54" s="502"/>
      <c r="F54" s="508">
        <v>15904482</v>
      </c>
      <c r="G54" s="508">
        <v>15904482</v>
      </c>
      <c r="H54" s="508">
        <v>141069</v>
      </c>
      <c r="I54" s="508">
        <v>15763413</v>
      </c>
      <c r="J54" s="508">
        <v>15763413</v>
      </c>
      <c r="K54" s="508" t="e">
        <v>#DIV/0!</v>
      </c>
    </row>
    <row r="55" spans="1:11" ht="15.75">
      <c r="A55" s="503" t="s">
        <v>172</v>
      </c>
      <c r="B55" s="503"/>
      <c r="C55" s="503"/>
      <c r="D55" s="503"/>
      <c r="E55" s="503"/>
      <c r="F55" s="508">
        <v>97390383</v>
      </c>
      <c r="G55" s="508">
        <v>97390383</v>
      </c>
      <c r="H55" s="508">
        <v>624898</v>
      </c>
      <c r="I55" s="508">
        <v>96768937</v>
      </c>
      <c r="J55" s="508">
        <v>96768937</v>
      </c>
      <c r="K55" s="508" t="e">
        <v>#DIV/0!</v>
      </c>
    </row>
    <row r="56" spans="1:11">
      <c r="H56" s="514"/>
    </row>
    <row r="57" spans="1:11">
      <c r="H57" s="429"/>
      <c r="I57" s="514"/>
    </row>
    <row r="58" spans="1:11">
      <c r="H58" s="426"/>
      <c r="I58" s="514"/>
      <c r="J58" s="514"/>
    </row>
    <row r="59" spans="1:11">
      <c r="H59" s="426"/>
    </row>
    <row r="60" spans="1:11">
      <c r="H60" s="429"/>
      <c r="I60" s="514"/>
    </row>
  </sheetData>
  <mergeCells count="62">
    <mergeCell ref="A52:A53"/>
    <mergeCell ref="G52:G53"/>
    <mergeCell ref="J52:J53"/>
    <mergeCell ref="A54:E54"/>
    <mergeCell ref="A55:E55"/>
    <mergeCell ref="A50:A51"/>
    <mergeCell ref="G50:G51"/>
    <mergeCell ref="J50:J51"/>
    <mergeCell ref="A46:A47"/>
    <mergeCell ref="G46:G47"/>
    <mergeCell ref="H46:H47"/>
    <mergeCell ref="J46:J47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11:A12"/>
    <mergeCell ref="G11:G12"/>
    <mergeCell ref="H11:H12"/>
    <mergeCell ref="J11:J12"/>
    <mergeCell ref="A13:A14"/>
    <mergeCell ref="G13:G14"/>
    <mergeCell ref="H13:H14"/>
    <mergeCell ref="J13:J14"/>
    <mergeCell ref="A5:K5"/>
    <mergeCell ref="A6:A7"/>
    <mergeCell ref="G6:G7"/>
    <mergeCell ref="J6:J7"/>
    <mergeCell ref="A9:A10"/>
    <mergeCell ref="G9:G10"/>
    <mergeCell ref="J9:J10"/>
    <mergeCell ref="A1:A4"/>
    <mergeCell ref="B1:B4"/>
    <mergeCell ref="D1:E2"/>
    <mergeCell ref="K1:K3"/>
    <mergeCell ref="D3:D4"/>
    <mergeCell ref="E3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7"/>
  <sheetViews>
    <sheetView zoomScale="85" zoomScaleNormal="85" workbookViewId="0">
      <selection sqref="A1:N55"/>
    </sheetView>
  </sheetViews>
  <sheetFormatPr baseColWidth="10" defaultRowHeight="15"/>
  <cols>
    <col min="2" max="2" width="18.85546875" customWidth="1"/>
    <col min="4" max="4" width="12.7109375" customWidth="1"/>
    <col min="5" max="5" width="13.140625" customWidth="1"/>
    <col min="8" max="8" width="13.5703125" bestFit="1" customWidth="1"/>
    <col min="12" max="12" width="11.85546875" customWidth="1"/>
  </cols>
  <sheetData>
    <row r="1" spans="1:16">
      <c r="A1" s="432" t="s">
        <v>1</v>
      </c>
      <c r="B1" s="432" t="s">
        <v>108</v>
      </c>
      <c r="C1" s="504"/>
      <c r="D1" s="434" t="s">
        <v>109</v>
      </c>
      <c r="E1" s="505"/>
      <c r="F1" s="433"/>
      <c r="G1" s="435" t="s">
        <v>110</v>
      </c>
      <c r="H1" s="433" t="s">
        <v>111</v>
      </c>
      <c r="I1" s="433"/>
      <c r="J1" s="435" t="s">
        <v>110</v>
      </c>
      <c r="K1" s="436" t="s">
        <v>112</v>
      </c>
      <c r="L1" s="424"/>
      <c r="M1" s="424"/>
      <c r="N1" s="424"/>
    </row>
    <row r="2" spans="1:16">
      <c r="A2" s="505"/>
      <c r="B2" s="432"/>
      <c r="C2" s="433" t="s">
        <v>113</v>
      </c>
      <c r="D2" s="505"/>
      <c r="E2" s="505"/>
      <c r="F2" s="433" t="s">
        <v>114</v>
      </c>
      <c r="G2" s="435" t="s">
        <v>115</v>
      </c>
      <c r="H2" s="433" t="s">
        <v>116</v>
      </c>
      <c r="I2" s="433" t="s">
        <v>114</v>
      </c>
      <c r="J2" s="435" t="s">
        <v>117</v>
      </c>
      <c r="K2" s="506"/>
      <c r="L2" s="424"/>
      <c r="M2" s="424"/>
      <c r="N2" s="424"/>
    </row>
    <row r="3" spans="1:16">
      <c r="A3" s="505"/>
      <c r="B3" s="432"/>
      <c r="C3" s="437" t="s">
        <v>118</v>
      </c>
      <c r="D3" s="438" t="s">
        <v>119</v>
      </c>
      <c r="E3" s="438" t="s">
        <v>120</v>
      </c>
      <c r="F3" s="439" t="s">
        <v>121</v>
      </c>
      <c r="G3" s="440" t="s">
        <v>122</v>
      </c>
      <c r="H3" s="437" t="s">
        <v>110</v>
      </c>
      <c r="I3" s="439" t="s">
        <v>123</v>
      </c>
      <c r="J3" s="440" t="s">
        <v>122</v>
      </c>
      <c r="K3" s="506"/>
      <c r="L3" s="424"/>
      <c r="M3" s="424"/>
      <c r="N3" s="424"/>
    </row>
    <row r="4" spans="1:16">
      <c r="A4" s="505"/>
      <c r="B4" s="432"/>
      <c r="C4" s="440"/>
      <c r="D4" s="505"/>
      <c r="E4" s="505"/>
      <c r="F4" s="437" t="s">
        <v>124</v>
      </c>
      <c r="G4" s="433" t="s">
        <v>124</v>
      </c>
      <c r="H4" s="433" t="s">
        <v>124</v>
      </c>
      <c r="I4" s="433" t="s">
        <v>124</v>
      </c>
      <c r="J4" s="433" t="s">
        <v>124</v>
      </c>
      <c r="K4" s="433" t="s">
        <v>125</v>
      </c>
      <c r="L4" s="424"/>
      <c r="M4" s="424"/>
      <c r="N4" s="424"/>
    </row>
    <row r="5" spans="1:16">
      <c r="A5" s="441" t="s">
        <v>126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24"/>
      <c r="M5" s="424" t="s">
        <v>173</v>
      </c>
      <c r="N5" s="424"/>
    </row>
    <row r="6" spans="1:16">
      <c r="A6" s="442">
        <v>1</v>
      </c>
      <c r="B6" s="443" t="s">
        <v>178</v>
      </c>
      <c r="C6" s="444">
        <v>124.1</v>
      </c>
      <c r="D6" s="430">
        <v>131464098</v>
      </c>
      <c r="E6" s="430">
        <v>136960516</v>
      </c>
      <c r="F6" s="445">
        <v>5496418</v>
      </c>
      <c r="G6" s="446">
        <v>11307066</v>
      </c>
      <c r="H6" s="447">
        <v>33964</v>
      </c>
      <c r="I6" s="448">
        <v>5462454</v>
      </c>
      <c r="J6" s="449">
        <v>11273102</v>
      </c>
      <c r="K6" s="450">
        <v>44.29</v>
      </c>
      <c r="L6" s="516"/>
      <c r="M6" s="425">
        <f>SUM(C6:C15)</f>
        <v>3764.19</v>
      </c>
      <c r="N6" s="424"/>
    </row>
    <row r="7" spans="1:16">
      <c r="A7" s="442"/>
      <c r="B7" s="443" t="s">
        <v>127</v>
      </c>
      <c r="C7" s="444">
        <v>133.65</v>
      </c>
      <c r="D7" s="430">
        <v>136699866</v>
      </c>
      <c r="E7" s="430">
        <v>142510514</v>
      </c>
      <c r="F7" s="445">
        <v>5810648</v>
      </c>
      <c r="G7" s="446"/>
      <c r="H7" s="451">
        <v>0</v>
      </c>
      <c r="I7" s="448">
        <v>5810648</v>
      </c>
      <c r="J7" s="449"/>
      <c r="K7" s="450">
        <v>43.48</v>
      </c>
      <c r="L7" s="516"/>
      <c r="M7" s="426">
        <f>SUM(C18:C29)</f>
        <v>3486.8500000000004</v>
      </c>
      <c r="N7" s="424"/>
    </row>
    <row r="8" spans="1:16">
      <c r="A8" s="452">
        <v>2</v>
      </c>
      <c r="B8" s="443" t="s">
        <v>128</v>
      </c>
      <c r="C8" s="453">
        <v>523.20000000000005</v>
      </c>
      <c r="D8" s="430">
        <v>261268200</v>
      </c>
      <c r="E8" s="430">
        <v>264054200</v>
      </c>
      <c r="F8" s="454">
        <v>2786000</v>
      </c>
      <c r="G8" s="454">
        <v>2786000</v>
      </c>
      <c r="H8" s="455">
        <v>23078</v>
      </c>
      <c r="I8" s="448">
        <v>2762922</v>
      </c>
      <c r="J8" s="456">
        <v>2762922</v>
      </c>
      <c r="K8" s="450">
        <v>5.32</v>
      </c>
      <c r="L8" s="516"/>
      <c r="M8" s="427">
        <f>SUM(C32:C40)</f>
        <v>1717.7000000000003</v>
      </c>
      <c r="N8" s="424"/>
    </row>
    <row r="9" spans="1:16">
      <c r="A9" s="442">
        <v>3</v>
      </c>
      <c r="B9" s="443" t="s">
        <v>129</v>
      </c>
      <c r="C9" s="457">
        <v>256.67</v>
      </c>
      <c r="D9" s="431">
        <v>199008550</v>
      </c>
      <c r="E9" s="431">
        <v>204515054</v>
      </c>
      <c r="F9" s="445">
        <v>5506504</v>
      </c>
      <c r="G9" s="446">
        <v>11042300</v>
      </c>
      <c r="H9" s="458">
        <v>54942</v>
      </c>
      <c r="I9" s="451">
        <v>5451562</v>
      </c>
      <c r="J9" s="459">
        <v>10987358</v>
      </c>
      <c r="K9" s="450">
        <v>21.45</v>
      </c>
      <c r="L9" s="516"/>
      <c r="M9" s="427">
        <f>SUM(C43:C53)</f>
        <v>4440.72</v>
      </c>
      <c r="N9" s="424"/>
    </row>
    <row r="10" spans="1:16" ht="15.75">
      <c r="A10" s="442"/>
      <c r="B10" s="443" t="s">
        <v>130</v>
      </c>
      <c r="C10" s="457">
        <v>257.35000000000002</v>
      </c>
      <c r="D10" s="431">
        <v>198212382</v>
      </c>
      <c r="E10" s="431">
        <v>203748178</v>
      </c>
      <c r="F10" s="445">
        <v>5535796</v>
      </c>
      <c r="G10" s="446"/>
      <c r="H10" s="451">
        <v>0</v>
      </c>
      <c r="I10" s="451">
        <v>5535796</v>
      </c>
      <c r="J10" s="459"/>
      <c r="K10" s="450">
        <v>21.51</v>
      </c>
      <c r="L10" s="516"/>
      <c r="M10" s="428">
        <f>SUM(M6:M9)</f>
        <v>13409.460000000003</v>
      </c>
      <c r="N10" s="424"/>
    </row>
    <row r="11" spans="1:16">
      <c r="A11" s="442">
        <v>4</v>
      </c>
      <c r="B11" s="443" t="s">
        <v>131</v>
      </c>
      <c r="C11" s="457">
        <v>740.7</v>
      </c>
      <c r="D11" s="460"/>
      <c r="E11" s="460"/>
      <c r="F11" s="454">
        <v>530715</v>
      </c>
      <c r="G11" s="446">
        <v>1061380</v>
      </c>
      <c r="H11" s="461">
        <v>10940</v>
      </c>
      <c r="I11" s="451">
        <v>519775</v>
      </c>
      <c r="J11" s="449">
        <v>1050440</v>
      </c>
      <c r="K11" s="450">
        <v>0.72</v>
      </c>
      <c r="L11" s="516"/>
      <c r="M11" s="424"/>
      <c r="N11" s="424"/>
    </row>
    <row r="12" spans="1:16">
      <c r="A12" s="442"/>
      <c r="B12" s="443" t="s">
        <v>132</v>
      </c>
      <c r="C12" s="457">
        <v>740.63</v>
      </c>
      <c r="D12" s="460"/>
      <c r="E12" s="460"/>
      <c r="F12" s="454">
        <v>530665</v>
      </c>
      <c r="G12" s="446"/>
      <c r="H12" s="461"/>
      <c r="I12" s="451">
        <v>530665</v>
      </c>
      <c r="J12" s="449"/>
      <c r="K12" s="450">
        <v>0.72</v>
      </c>
      <c r="L12" s="516"/>
      <c r="M12" s="424"/>
      <c r="N12" s="424"/>
    </row>
    <row r="13" spans="1:16">
      <c r="A13" s="442">
        <v>5</v>
      </c>
      <c r="B13" s="443" t="s">
        <v>186</v>
      </c>
      <c r="C13" s="444">
        <v>193.22</v>
      </c>
      <c r="D13" s="430">
        <v>3376653</v>
      </c>
      <c r="E13" s="430">
        <v>3395515</v>
      </c>
      <c r="F13" s="445">
        <v>18862</v>
      </c>
      <c r="G13" s="446">
        <v>38812</v>
      </c>
      <c r="H13" s="462">
        <v>3655</v>
      </c>
      <c r="I13" s="451">
        <v>15207</v>
      </c>
      <c r="J13" s="449">
        <v>35157</v>
      </c>
      <c r="K13" s="450">
        <v>0.1</v>
      </c>
      <c r="L13" s="516"/>
      <c r="M13" s="424"/>
      <c r="N13" s="424"/>
    </row>
    <row r="14" spans="1:16">
      <c r="A14" s="442"/>
      <c r="B14" s="443" t="s">
        <v>134</v>
      </c>
      <c r="C14" s="444">
        <v>200</v>
      </c>
      <c r="D14" s="430">
        <v>3219092</v>
      </c>
      <c r="E14" s="430">
        <v>3239042</v>
      </c>
      <c r="F14" s="445">
        <v>19950</v>
      </c>
      <c r="G14" s="446"/>
      <c r="H14" s="462"/>
      <c r="I14" s="463">
        <v>19950</v>
      </c>
      <c r="J14" s="449"/>
      <c r="K14" s="450">
        <v>0.1</v>
      </c>
      <c r="L14" s="516"/>
      <c r="M14" s="424"/>
      <c r="N14" s="424"/>
    </row>
    <row r="15" spans="1:16">
      <c r="A15" s="452">
        <v>6</v>
      </c>
      <c r="B15" s="443" t="s">
        <v>135</v>
      </c>
      <c r="C15" s="444">
        <v>594.66999999999996</v>
      </c>
      <c r="D15" s="464">
        <v>71826058</v>
      </c>
      <c r="E15" s="464">
        <v>72318487</v>
      </c>
      <c r="F15" s="454">
        <v>492429</v>
      </c>
      <c r="G15" s="454">
        <v>492429</v>
      </c>
      <c r="H15" s="455">
        <v>13088</v>
      </c>
      <c r="I15" s="451">
        <v>479341</v>
      </c>
      <c r="J15" s="451">
        <v>479341</v>
      </c>
      <c r="K15" s="450">
        <v>0.83</v>
      </c>
      <c r="L15" s="516"/>
      <c r="M15" s="424"/>
      <c r="N15" s="424"/>
      <c r="P15" s="202">
        <f>SUM(F6:F15)</f>
        <v>26727987</v>
      </c>
    </row>
    <row r="16" spans="1:16">
      <c r="A16" s="465" t="s">
        <v>136</v>
      </c>
      <c r="B16" s="465"/>
      <c r="C16" s="465"/>
      <c r="D16" s="465"/>
      <c r="E16" s="465"/>
      <c r="F16" s="466">
        <v>26727987</v>
      </c>
      <c r="G16" s="466">
        <v>26727987</v>
      </c>
      <c r="H16" s="466">
        <v>139667</v>
      </c>
      <c r="I16" s="466">
        <v>26588320</v>
      </c>
      <c r="J16" s="466">
        <v>26588320</v>
      </c>
      <c r="K16" s="466">
        <v>139</v>
      </c>
      <c r="L16" s="516"/>
      <c r="M16" s="424"/>
      <c r="N16" s="424"/>
      <c r="P16" s="202">
        <f>+P15+febrero!N17+enero!M16</f>
        <v>84485162</v>
      </c>
    </row>
    <row r="17" spans="1:14">
      <c r="A17" s="441" t="s">
        <v>137</v>
      </c>
      <c r="B17" s="441"/>
      <c r="C17" s="441"/>
      <c r="D17" s="441"/>
      <c r="E17" s="441"/>
      <c r="F17" s="441"/>
      <c r="G17" s="441"/>
      <c r="H17" s="441"/>
      <c r="I17" s="441"/>
      <c r="J17" s="441"/>
      <c r="K17" s="441"/>
      <c r="L17" s="516"/>
      <c r="M17" s="424"/>
      <c r="N17" s="424"/>
    </row>
    <row r="18" spans="1:14">
      <c r="A18" s="452">
        <v>7</v>
      </c>
      <c r="B18" s="467" t="s">
        <v>138</v>
      </c>
      <c r="C18" s="468">
        <v>134.80000000000001</v>
      </c>
      <c r="D18" s="430">
        <v>36270000</v>
      </c>
      <c r="E18" s="430">
        <v>37460000</v>
      </c>
      <c r="F18" s="445">
        <v>1190000</v>
      </c>
      <c r="G18" s="445">
        <v>1190000</v>
      </c>
      <c r="H18" s="469">
        <v>10672</v>
      </c>
      <c r="I18" s="451">
        <v>1179328</v>
      </c>
      <c r="J18" s="451">
        <v>1179328</v>
      </c>
      <c r="K18" s="450">
        <v>8.83</v>
      </c>
      <c r="L18" s="516"/>
      <c r="M18" s="424"/>
      <c r="N18" s="424"/>
    </row>
    <row r="19" spans="1:14">
      <c r="A19" s="452">
        <v>8</v>
      </c>
      <c r="B19" s="467" t="s">
        <v>182</v>
      </c>
      <c r="C19" s="470">
        <v>734.76</v>
      </c>
      <c r="D19" s="517">
        <v>1047055100</v>
      </c>
      <c r="E19" s="517">
        <v>1051832200</v>
      </c>
      <c r="F19" s="445">
        <v>4777100</v>
      </c>
      <c r="G19" s="445">
        <v>4777100</v>
      </c>
      <c r="H19" s="471">
        <v>13251</v>
      </c>
      <c r="I19" s="451">
        <v>4763849</v>
      </c>
      <c r="J19" s="445">
        <v>4763849</v>
      </c>
      <c r="K19" s="472">
        <v>6.5</v>
      </c>
      <c r="L19" s="516"/>
      <c r="M19" s="424"/>
      <c r="N19" s="424"/>
    </row>
    <row r="20" spans="1:14">
      <c r="A20" s="452"/>
      <c r="B20" s="467" t="s">
        <v>187</v>
      </c>
      <c r="C20" s="470">
        <v>0</v>
      </c>
      <c r="D20" s="517">
        <v>0</v>
      </c>
      <c r="E20" s="517">
        <v>0</v>
      </c>
      <c r="F20" s="445">
        <v>0</v>
      </c>
      <c r="G20" s="445"/>
      <c r="H20" s="447">
        <v>0</v>
      </c>
      <c r="I20" s="448">
        <v>0</v>
      </c>
      <c r="J20" s="445"/>
      <c r="K20" s="472">
        <v>0</v>
      </c>
      <c r="L20" s="516">
        <v>65.95</v>
      </c>
      <c r="M20" s="424">
        <v>671.05</v>
      </c>
      <c r="N20" s="516">
        <f>+C20+L20+M20</f>
        <v>737</v>
      </c>
    </row>
    <row r="21" spans="1:14">
      <c r="A21" s="452">
        <v>9</v>
      </c>
      <c r="B21" s="467" t="s">
        <v>140</v>
      </c>
      <c r="C21" s="444">
        <v>715.7</v>
      </c>
      <c r="D21" s="473">
        <v>887721601</v>
      </c>
      <c r="E21" s="473">
        <v>891533506</v>
      </c>
      <c r="F21" s="445">
        <v>3811905</v>
      </c>
      <c r="G21" s="445">
        <v>3811905</v>
      </c>
      <c r="H21" s="451">
        <v>5562</v>
      </c>
      <c r="I21" s="451">
        <v>3806343</v>
      </c>
      <c r="J21" s="451">
        <v>3806343</v>
      </c>
      <c r="K21" s="472">
        <v>5.33</v>
      </c>
      <c r="L21" s="516"/>
      <c r="M21" s="424"/>
      <c r="N21" s="424"/>
    </row>
    <row r="22" spans="1:14">
      <c r="A22" s="474">
        <v>10</v>
      </c>
      <c r="B22" s="467" t="s">
        <v>141</v>
      </c>
      <c r="C22" s="444">
        <v>655.1</v>
      </c>
      <c r="D22" s="473">
        <v>921220000</v>
      </c>
      <c r="E22" s="473">
        <v>928684000</v>
      </c>
      <c r="F22" s="445">
        <v>7464000</v>
      </c>
      <c r="G22" s="475">
        <v>10306000</v>
      </c>
      <c r="H22" s="476">
        <v>55775</v>
      </c>
      <c r="I22" s="477">
        <v>7408225</v>
      </c>
      <c r="J22" s="478">
        <v>10250225</v>
      </c>
      <c r="K22" s="450">
        <v>11.39</v>
      </c>
      <c r="L22" s="516"/>
      <c r="M22" s="424"/>
      <c r="N22" s="424"/>
    </row>
    <row r="23" spans="1:14">
      <c r="A23" s="474"/>
      <c r="B23" s="467" t="s">
        <v>142</v>
      </c>
      <c r="C23" s="444">
        <v>334.17</v>
      </c>
      <c r="D23" s="479">
        <v>831616000</v>
      </c>
      <c r="E23" s="479">
        <v>834458000</v>
      </c>
      <c r="F23" s="445">
        <v>2842000</v>
      </c>
      <c r="G23" s="475"/>
      <c r="H23" s="510"/>
      <c r="I23" s="451">
        <v>2842000</v>
      </c>
      <c r="J23" s="478"/>
      <c r="K23" s="450">
        <v>8.5</v>
      </c>
      <c r="L23" s="516"/>
      <c r="M23" s="424"/>
      <c r="N23" s="424"/>
    </row>
    <row r="24" spans="1:14">
      <c r="A24" s="452">
        <v>11</v>
      </c>
      <c r="B24" s="467" t="s">
        <v>188</v>
      </c>
      <c r="C24" s="444">
        <v>168.23</v>
      </c>
      <c r="D24" s="430">
        <v>15987502</v>
      </c>
      <c r="E24" s="430">
        <v>16057808</v>
      </c>
      <c r="F24" s="454">
        <v>70306</v>
      </c>
      <c r="G24" s="445">
        <v>70306</v>
      </c>
      <c r="H24" s="480">
        <v>1979</v>
      </c>
      <c r="I24" s="447">
        <v>68327</v>
      </c>
      <c r="J24" s="447">
        <v>68327</v>
      </c>
      <c r="K24" s="450">
        <v>0.42</v>
      </c>
      <c r="L24" s="516"/>
      <c r="M24" s="424"/>
      <c r="N24" s="424"/>
    </row>
    <row r="25" spans="1:14">
      <c r="A25" s="474">
        <v>12</v>
      </c>
      <c r="B25" s="467" t="s">
        <v>144</v>
      </c>
      <c r="C25" s="444">
        <v>553.86</v>
      </c>
      <c r="D25" s="431"/>
      <c r="E25" s="431"/>
      <c r="F25" s="481">
        <v>116036</v>
      </c>
      <c r="G25" s="475">
        <v>137994</v>
      </c>
      <c r="H25" s="482">
        <v>2672</v>
      </c>
      <c r="I25" s="451">
        <v>116036</v>
      </c>
      <c r="J25" s="483">
        <v>135322</v>
      </c>
      <c r="K25" s="450">
        <v>0.21</v>
      </c>
      <c r="L25" s="516"/>
      <c r="M25" s="424"/>
      <c r="N25" s="424"/>
    </row>
    <row r="26" spans="1:14">
      <c r="A26" s="474"/>
      <c r="B26" s="467" t="s">
        <v>189</v>
      </c>
      <c r="C26" s="457">
        <v>0</v>
      </c>
      <c r="D26" s="431"/>
      <c r="E26" s="431"/>
      <c r="F26" s="481">
        <v>21958</v>
      </c>
      <c r="G26" s="475"/>
      <c r="H26" s="511">
        <v>0</v>
      </c>
      <c r="I26" s="451">
        <v>19286</v>
      </c>
      <c r="J26" s="483"/>
      <c r="K26" s="450">
        <v>0</v>
      </c>
      <c r="L26" s="516"/>
      <c r="M26" s="424"/>
      <c r="N26" s="424"/>
    </row>
    <row r="27" spans="1:14">
      <c r="A27" s="452">
        <v>13</v>
      </c>
      <c r="B27" s="484" t="s">
        <v>146</v>
      </c>
      <c r="C27" s="444">
        <v>0</v>
      </c>
      <c r="D27" s="431"/>
      <c r="E27" s="431"/>
      <c r="F27" s="485">
        <v>0</v>
      </c>
      <c r="G27" s="445">
        <v>0</v>
      </c>
      <c r="H27" s="447">
        <v>1764</v>
      </c>
      <c r="I27" s="447">
        <v>0</v>
      </c>
      <c r="J27" s="451">
        <v>0</v>
      </c>
      <c r="K27" s="450">
        <v>0</v>
      </c>
      <c r="L27" s="516"/>
      <c r="M27" s="424"/>
      <c r="N27" s="424"/>
    </row>
    <row r="28" spans="1:14">
      <c r="A28" s="442">
        <v>14</v>
      </c>
      <c r="B28" s="443" t="s">
        <v>147</v>
      </c>
      <c r="C28" s="457">
        <v>183.7</v>
      </c>
      <c r="D28" s="486">
        <v>53732200</v>
      </c>
      <c r="E28" s="486">
        <v>59345400</v>
      </c>
      <c r="F28" s="454">
        <v>5613200</v>
      </c>
      <c r="G28" s="449">
        <v>6844100</v>
      </c>
      <c r="H28" s="447">
        <v>45743</v>
      </c>
      <c r="I28" s="447">
        <v>5567457</v>
      </c>
      <c r="J28" s="487">
        <v>6798357</v>
      </c>
      <c r="K28" s="472">
        <v>30.56</v>
      </c>
      <c r="L28" s="516"/>
      <c r="M28" s="424"/>
      <c r="N28" s="424"/>
    </row>
    <row r="29" spans="1:14">
      <c r="A29" s="442"/>
      <c r="B29" s="443" t="s">
        <v>148</v>
      </c>
      <c r="C29" s="457">
        <v>6.53</v>
      </c>
      <c r="D29" s="454">
        <v>87606600</v>
      </c>
      <c r="E29" s="454">
        <v>88837500</v>
      </c>
      <c r="F29" s="454">
        <v>1230900</v>
      </c>
      <c r="G29" s="449"/>
      <c r="H29" s="447">
        <v>0</v>
      </c>
      <c r="I29" s="447">
        <v>1230900</v>
      </c>
      <c r="J29" s="487"/>
      <c r="K29" s="472">
        <v>188.5</v>
      </c>
      <c r="L29" s="516"/>
      <c r="M29" s="424"/>
      <c r="N29" s="424"/>
    </row>
    <row r="30" spans="1:14">
      <c r="A30" s="465" t="s">
        <v>175</v>
      </c>
      <c r="B30" s="465"/>
      <c r="C30" s="465"/>
      <c r="D30" s="465"/>
      <c r="E30" s="465"/>
      <c r="F30" s="466">
        <v>27137405</v>
      </c>
      <c r="G30" s="466">
        <v>27137405</v>
      </c>
      <c r="H30" s="466">
        <v>137418</v>
      </c>
      <c r="I30" s="466">
        <v>27001751</v>
      </c>
      <c r="J30" s="466">
        <v>27001751</v>
      </c>
      <c r="K30" s="466">
        <v>260</v>
      </c>
      <c r="L30" s="516"/>
      <c r="M30" s="424"/>
      <c r="N30" s="424"/>
    </row>
    <row r="31" spans="1:14">
      <c r="A31" s="488" t="s">
        <v>150</v>
      </c>
      <c r="B31" s="488"/>
      <c r="C31" s="488"/>
      <c r="D31" s="488"/>
      <c r="E31" s="488"/>
      <c r="F31" s="488"/>
      <c r="G31" s="488"/>
      <c r="H31" s="488"/>
      <c r="I31" s="488"/>
      <c r="J31" s="488"/>
      <c r="K31" s="488"/>
      <c r="L31" s="516"/>
      <c r="M31" s="424"/>
      <c r="N31" s="424"/>
    </row>
    <row r="32" spans="1:14">
      <c r="A32" s="442">
        <v>15</v>
      </c>
      <c r="B32" s="467" t="s">
        <v>151</v>
      </c>
      <c r="C32" s="489">
        <v>74.459999999999994</v>
      </c>
      <c r="D32" s="490">
        <v>4140145120</v>
      </c>
      <c r="E32" s="490">
        <v>4141784068</v>
      </c>
      <c r="F32" s="454">
        <v>1638948</v>
      </c>
      <c r="G32" s="449">
        <v>3540748</v>
      </c>
      <c r="H32" s="454">
        <v>14584</v>
      </c>
      <c r="I32" s="454">
        <v>1624364</v>
      </c>
      <c r="J32" s="449">
        <v>3526164</v>
      </c>
      <c r="K32" s="450">
        <v>22.01</v>
      </c>
      <c r="L32" s="516"/>
      <c r="M32" s="424"/>
      <c r="N32" s="424"/>
    </row>
    <row r="33" spans="1:14">
      <c r="A33" s="442"/>
      <c r="B33" s="467" t="s">
        <v>152</v>
      </c>
      <c r="C33" s="489">
        <v>86.98</v>
      </c>
      <c r="D33" s="490">
        <v>900092800</v>
      </c>
      <c r="E33" s="490">
        <v>901994600</v>
      </c>
      <c r="F33" s="445">
        <v>1901800</v>
      </c>
      <c r="G33" s="449"/>
      <c r="H33" s="454">
        <v>0</v>
      </c>
      <c r="I33" s="454">
        <v>1901800</v>
      </c>
      <c r="J33" s="449"/>
      <c r="K33" s="450">
        <v>21.86</v>
      </c>
      <c r="L33" s="516"/>
      <c r="M33" s="424"/>
      <c r="N33" s="424"/>
    </row>
    <row r="34" spans="1:14">
      <c r="A34" s="442">
        <v>16</v>
      </c>
      <c r="B34" s="491" t="s">
        <v>153</v>
      </c>
      <c r="C34" s="444">
        <v>149.12</v>
      </c>
      <c r="D34" s="492">
        <v>3288359214</v>
      </c>
      <c r="E34" s="492">
        <v>3294767934</v>
      </c>
      <c r="F34" s="445">
        <v>6408720</v>
      </c>
      <c r="G34" s="449">
        <v>12088048</v>
      </c>
      <c r="H34" s="485">
        <v>0</v>
      </c>
      <c r="I34" s="493">
        <v>6408720</v>
      </c>
      <c r="J34" s="449">
        <v>11909680</v>
      </c>
      <c r="K34" s="450">
        <v>42.98</v>
      </c>
      <c r="L34" s="516"/>
      <c r="M34" s="424"/>
      <c r="N34" s="424"/>
    </row>
    <row r="35" spans="1:14">
      <c r="A35" s="442"/>
      <c r="B35" s="467" t="s">
        <v>154</v>
      </c>
      <c r="C35" s="444">
        <v>135.06</v>
      </c>
      <c r="D35" s="430">
        <v>2877010304</v>
      </c>
      <c r="E35" s="430">
        <v>2882689632</v>
      </c>
      <c r="F35" s="445">
        <v>5679328</v>
      </c>
      <c r="G35" s="449"/>
      <c r="H35" s="485">
        <v>178368</v>
      </c>
      <c r="I35" s="493">
        <v>5500960</v>
      </c>
      <c r="J35" s="449"/>
      <c r="K35" s="450">
        <v>42.05</v>
      </c>
      <c r="L35" s="516"/>
      <c r="M35" s="424"/>
      <c r="N35" s="424"/>
    </row>
    <row r="36" spans="1:14">
      <c r="A36" s="442">
        <v>17</v>
      </c>
      <c r="B36" s="467" t="s">
        <v>155</v>
      </c>
      <c r="C36" s="494">
        <v>240.34</v>
      </c>
      <c r="D36" s="492">
        <v>1109807232</v>
      </c>
      <c r="E36" s="492">
        <v>1116034560</v>
      </c>
      <c r="F36" s="445">
        <v>6227328</v>
      </c>
      <c r="G36" s="449">
        <v>17810944</v>
      </c>
      <c r="H36" s="454">
        <v>77064</v>
      </c>
      <c r="I36" s="454">
        <v>6150264</v>
      </c>
      <c r="J36" s="449">
        <v>17733880</v>
      </c>
      <c r="K36" s="450">
        <v>25.91</v>
      </c>
      <c r="L36" s="516"/>
      <c r="M36" s="516"/>
      <c r="N36" s="424"/>
    </row>
    <row r="37" spans="1:14">
      <c r="A37" s="442"/>
      <c r="B37" s="491" t="s">
        <v>156</v>
      </c>
      <c r="C37" s="494">
        <v>451.21</v>
      </c>
      <c r="D37" s="492">
        <v>1385856512</v>
      </c>
      <c r="E37" s="492">
        <v>1397440128</v>
      </c>
      <c r="F37" s="445">
        <v>11583616</v>
      </c>
      <c r="G37" s="449"/>
      <c r="H37" s="485">
        <v>0</v>
      </c>
      <c r="I37" s="454">
        <v>11583616</v>
      </c>
      <c r="J37" s="449"/>
      <c r="K37" s="450">
        <v>25.67</v>
      </c>
      <c r="L37" s="516"/>
      <c r="M37" s="424"/>
      <c r="N37" s="424"/>
    </row>
    <row r="38" spans="1:14">
      <c r="A38" s="495">
        <v>18</v>
      </c>
      <c r="B38" s="467" t="s">
        <v>157</v>
      </c>
      <c r="C38" s="444">
        <v>8.4499999999999993</v>
      </c>
      <c r="D38" s="496"/>
      <c r="E38" s="496"/>
      <c r="F38" s="454">
        <v>793</v>
      </c>
      <c r="G38" s="454">
        <v>793</v>
      </c>
      <c r="H38" s="454">
        <v>214</v>
      </c>
      <c r="I38" s="447">
        <v>579</v>
      </c>
      <c r="J38" s="447">
        <v>579</v>
      </c>
      <c r="K38" s="450">
        <v>0.09</v>
      </c>
      <c r="L38" s="516"/>
      <c r="M38" s="424"/>
      <c r="N38" s="424"/>
    </row>
    <row r="39" spans="1:14">
      <c r="A39" s="452">
        <v>19</v>
      </c>
      <c r="B39" s="467" t="s">
        <v>158</v>
      </c>
      <c r="C39" s="444">
        <v>0</v>
      </c>
      <c r="D39" s="496"/>
      <c r="E39" s="496"/>
      <c r="F39" s="445">
        <v>0</v>
      </c>
      <c r="G39" s="454">
        <v>0</v>
      </c>
      <c r="H39" s="445">
        <v>538</v>
      </c>
      <c r="I39" s="454">
        <v>0</v>
      </c>
      <c r="J39" s="454">
        <v>0</v>
      </c>
      <c r="K39" s="450">
        <v>0</v>
      </c>
      <c r="L39" s="516"/>
      <c r="M39" s="424"/>
      <c r="N39" s="424"/>
    </row>
    <row r="40" spans="1:14">
      <c r="A40" s="452">
        <v>20</v>
      </c>
      <c r="B40" s="443" t="s">
        <v>159</v>
      </c>
      <c r="C40" s="444">
        <v>572.08000000000004</v>
      </c>
      <c r="D40" s="486">
        <v>52843013</v>
      </c>
      <c r="E40" s="486">
        <v>53083855</v>
      </c>
      <c r="F40" s="445">
        <v>240842</v>
      </c>
      <c r="G40" s="445">
        <v>240842</v>
      </c>
      <c r="H40" s="445">
        <v>6650</v>
      </c>
      <c r="I40" s="454">
        <v>234192</v>
      </c>
      <c r="J40" s="451">
        <v>234192</v>
      </c>
      <c r="K40" s="450">
        <v>0.42</v>
      </c>
      <c r="L40" s="516"/>
      <c r="M40" s="424"/>
      <c r="N40" s="424"/>
    </row>
    <row r="41" spans="1:14">
      <c r="A41" s="465" t="s">
        <v>160</v>
      </c>
      <c r="B41" s="465"/>
      <c r="C41" s="465"/>
      <c r="D41" s="465"/>
      <c r="E41" s="465"/>
      <c r="F41" s="466">
        <v>33681375</v>
      </c>
      <c r="G41" s="466">
        <v>33681375</v>
      </c>
      <c r="H41" s="466">
        <v>277418</v>
      </c>
      <c r="I41" s="466">
        <v>33404495</v>
      </c>
      <c r="J41" s="466">
        <v>33404495</v>
      </c>
      <c r="K41" s="466">
        <v>181</v>
      </c>
      <c r="L41" s="424"/>
      <c r="M41" s="424"/>
      <c r="N41" s="424"/>
    </row>
    <row r="42" spans="1:14">
      <c r="A42" s="488" t="s">
        <v>161</v>
      </c>
      <c r="B42" s="488"/>
      <c r="C42" s="488"/>
      <c r="D42" s="488"/>
      <c r="E42" s="488"/>
      <c r="F42" s="488"/>
      <c r="G42" s="488"/>
      <c r="H42" s="488"/>
      <c r="I42" s="488"/>
      <c r="J42" s="488"/>
      <c r="K42" s="488"/>
      <c r="L42" s="424"/>
      <c r="M42" s="424"/>
      <c r="N42" s="424"/>
    </row>
    <row r="43" spans="1:14">
      <c r="A43" s="452">
        <v>21</v>
      </c>
      <c r="B43" s="467" t="s">
        <v>162</v>
      </c>
      <c r="C43" s="489">
        <v>736.08</v>
      </c>
      <c r="D43" s="430">
        <v>1180124087</v>
      </c>
      <c r="E43" s="430">
        <v>1184594397</v>
      </c>
      <c r="F43" s="445">
        <v>4470310</v>
      </c>
      <c r="G43" s="445">
        <v>4470310</v>
      </c>
      <c r="H43" s="445">
        <v>12118</v>
      </c>
      <c r="I43" s="445">
        <v>4458192</v>
      </c>
      <c r="J43" s="445">
        <v>4458192</v>
      </c>
      <c r="K43" s="450">
        <v>6.07</v>
      </c>
      <c r="L43" s="518"/>
      <c r="M43" s="424"/>
      <c r="N43" s="424"/>
    </row>
    <row r="44" spans="1:14">
      <c r="A44" s="452">
        <v>22</v>
      </c>
      <c r="B44" s="467" t="s">
        <v>163</v>
      </c>
      <c r="C44" s="444">
        <v>489.22</v>
      </c>
      <c r="D44" s="490">
        <v>806964500</v>
      </c>
      <c r="E44" s="490">
        <v>808460900</v>
      </c>
      <c r="F44" s="445">
        <v>1496400</v>
      </c>
      <c r="G44" s="445">
        <v>1496400</v>
      </c>
      <c r="H44" s="445">
        <v>11877</v>
      </c>
      <c r="I44" s="445">
        <v>1484523</v>
      </c>
      <c r="J44" s="445">
        <v>1484523</v>
      </c>
      <c r="K44" s="450">
        <v>3.06</v>
      </c>
      <c r="L44" s="518"/>
      <c r="M44" s="424"/>
      <c r="N44" s="424"/>
    </row>
    <row r="45" spans="1:14">
      <c r="A45" s="452">
        <v>23</v>
      </c>
      <c r="B45" s="467" t="s">
        <v>164</v>
      </c>
      <c r="C45" s="444">
        <v>736.08</v>
      </c>
      <c r="D45" s="497">
        <v>476970075</v>
      </c>
      <c r="E45" s="497">
        <v>478523716</v>
      </c>
      <c r="F45" s="445">
        <v>1553641</v>
      </c>
      <c r="G45" s="445">
        <v>1553641</v>
      </c>
      <c r="H45" s="454">
        <v>9223</v>
      </c>
      <c r="I45" s="445">
        <v>1544418</v>
      </c>
      <c r="J45" s="445">
        <v>1544418</v>
      </c>
      <c r="K45" s="450">
        <v>2.11</v>
      </c>
      <c r="L45" s="518"/>
      <c r="M45" s="424"/>
      <c r="N45" s="424"/>
    </row>
    <row r="46" spans="1:14">
      <c r="A46" s="442">
        <v>24</v>
      </c>
      <c r="B46" s="498" t="s">
        <v>165</v>
      </c>
      <c r="C46" s="444">
        <v>646.65</v>
      </c>
      <c r="D46" s="490">
        <v>467978400</v>
      </c>
      <c r="E46" s="490">
        <v>470106000</v>
      </c>
      <c r="F46" s="445">
        <v>2127600</v>
      </c>
      <c r="G46" s="449">
        <v>3070800</v>
      </c>
      <c r="H46" s="446">
        <v>13996</v>
      </c>
      <c r="I46" s="454">
        <v>2113604</v>
      </c>
      <c r="J46" s="449">
        <v>3056804</v>
      </c>
      <c r="K46" s="450">
        <v>3.29</v>
      </c>
      <c r="L46" s="518"/>
      <c r="M46" s="424"/>
      <c r="N46" s="424"/>
    </row>
    <row r="47" spans="1:14">
      <c r="A47" s="442"/>
      <c r="B47" s="499" t="s">
        <v>166</v>
      </c>
      <c r="C47" s="444">
        <v>397.08</v>
      </c>
      <c r="D47" s="490">
        <v>554184000</v>
      </c>
      <c r="E47" s="490">
        <v>555127200</v>
      </c>
      <c r="F47" s="445">
        <v>943200</v>
      </c>
      <c r="G47" s="449"/>
      <c r="H47" s="513"/>
      <c r="I47" s="454">
        <v>943200</v>
      </c>
      <c r="J47" s="449"/>
      <c r="K47" s="450">
        <v>2.38</v>
      </c>
      <c r="L47" s="518"/>
      <c r="M47" s="424"/>
      <c r="N47" s="424"/>
    </row>
    <row r="48" spans="1:14">
      <c r="A48" s="442">
        <v>25</v>
      </c>
      <c r="B48" s="500" t="s">
        <v>167</v>
      </c>
      <c r="C48" s="444">
        <v>265.49</v>
      </c>
      <c r="D48" s="490">
        <v>5723916</v>
      </c>
      <c r="E48" s="490">
        <v>6026174</v>
      </c>
      <c r="F48" s="445">
        <v>302258</v>
      </c>
      <c r="G48" s="449">
        <v>620801</v>
      </c>
      <c r="H48" s="454">
        <v>15080</v>
      </c>
      <c r="I48" s="454">
        <v>287178</v>
      </c>
      <c r="J48" s="449">
        <v>605721</v>
      </c>
      <c r="K48" s="450">
        <v>1.1399999999999999</v>
      </c>
      <c r="L48" s="518"/>
      <c r="M48" s="424"/>
      <c r="N48" s="424"/>
    </row>
    <row r="49" spans="1:14">
      <c r="A49" s="442">
        <v>21</v>
      </c>
      <c r="B49" s="443" t="s">
        <v>168</v>
      </c>
      <c r="C49" s="444">
        <v>278.64</v>
      </c>
      <c r="D49" s="497">
        <v>5087650</v>
      </c>
      <c r="E49" s="497">
        <v>5406193</v>
      </c>
      <c r="F49" s="445">
        <v>318543</v>
      </c>
      <c r="G49" s="449"/>
      <c r="H49" s="451">
        <v>0</v>
      </c>
      <c r="I49" s="454">
        <v>318543</v>
      </c>
      <c r="J49" s="449"/>
      <c r="K49" s="450">
        <v>1.1399999999999999</v>
      </c>
      <c r="L49" s="518"/>
      <c r="M49" s="424"/>
      <c r="N49" s="424"/>
    </row>
    <row r="50" spans="1:14">
      <c r="A50" s="442">
        <v>26</v>
      </c>
      <c r="B50" s="443" t="s">
        <v>169</v>
      </c>
      <c r="C50" s="444">
        <v>369.9</v>
      </c>
      <c r="D50" s="430">
        <v>0</v>
      </c>
      <c r="E50" s="430">
        <v>0</v>
      </c>
      <c r="F50" s="445">
        <v>361978</v>
      </c>
      <c r="G50" s="449">
        <v>692114</v>
      </c>
      <c r="H50" s="454">
        <v>6539</v>
      </c>
      <c r="I50" s="454">
        <v>355439</v>
      </c>
      <c r="J50" s="449">
        <v>685575</v>
      </c>
      <c r="K50" s="450">
        <v>0.98</v>
      </c>
      <c r="L50" s="518"/>
      <c r="M50" s="424"/>
      <c r="N50" s="424"/>
    </row>
    <row r="51" spans="1:14">
      <c r="A51" s="442"/>
      <c r="B51" s="443" t="s">
        <v>170</v>
      </c>
      <c r="C51" s="444">
        <v>328.4</v>
      </c>
      <c r="D51" s="486">
        <v>0</v>
      </c>
      <c r="E51" s="486">
        <v>0</v>
      </c>
      <c r="F51" s="445">
        <v>330136</v>
      </c>
      <c r="G51" s="449"/>
      <c r="H51" s="445">
        <v>0</v>
      </c>
      <c r="I51" s="447">
        <v>330136</v>
      </c>
      <c r="J51" s="449"/>
      <c r="K51" s="450">
        <v>1.01</v>
      </c>
      <c r="L51" s="518"/>
      <c r="M51" s="424"/>
      <c r="N51" s="424"/>
    </row>
    <row r="52" spans="1:14">
      <c r="A52" s="442">
        <v>27</v>
      </c>
      <c r="B52" s="443" t="s">
        <v>103</v>
      </c>
      <c r="C52" s="444">
        <v>98.1</v>
      </c>
      <c r="D52" s="486">
        <v>851655552</v>
      </c>
      <c r="E52" s="486">
        <v>854866176</v>
      </c>
      <c r="F52" s="445">
        <v>3210624</v>
      </c>
      <c r="G52" s="446">
        <v>6405696</v>
      </c>
      <c r="H52" s="480">
        <v>90052</v>
      </c>
      <c r="I52" s="451">
        <v>3120572</v>
      </c>
      <c r="J52" s="501">
        <v>6315644</v>
      </c>
      <c r="K52" s="450">
        <v>32.729999999999997</v>
      </c>
      <c r="L52" s="518"/>
      <c r="M52" s="424"/>
      <c r="N52" s="424"/>
    </row>
    <row r="53" spans="1:14">
      <c r="A53" s="442"/>
      <c r="B53" s="443" t="s">
        <v>104</v>
      </c>
      <c r="C53" s="489">
        <v>95.08</v>
      </c>
      <c r="D53" s="445">
        <v>884860688</v>
      </c>
      <c r="E53" s="445">
        <v>888055760</v>
      </c>
      <c r="F53" s="445">
        <v>3195072</v>
      </c>
      <c r="G53" s="446"/>
      <c r="H53" s="451">
        <v>0</v>
      </c>
      <c r="I53" s="451">
        <v>3195072</v>
      </c>
      <c r="J53" s="501"/>
      <c r="K53" s="450">
        <v>33.6</v>
      </c>
      <c r="L53" s="518"/>
      <c r="M53" s="424"/>
      <c r="N53" s="424"/>
    </row>
    <row r="54" spans="1:14">
      <c r="A54" s="502" t="s">
        <v>171</v>
      </c>
      <c r="B54" s="502"/>
      <c r="C54" s="502"/>
      <c r="D54" s="502"/>
      <c r="E54" s="502"/>
      <c r="F54" s="466">
        <v>18309762</v>
      </c>
      <c r="G54" s="466">
        <v>18309762</v>
      </c>
      <c r="H54" s="466">
        <v>158885</v>
      </c>
      <c r="I54" s="466">
        <v>18150877</v>
      </c>
      <c r="J54" s="466">
        <v>18150877</v>
      </c>
      <c r="K54" s="466">
        <v>88</v>
      </c>
      <c r="L54" s="424"/>
      <c r="M54" s="424"/>
      <c r="N54" s="424"/>
    </row>
    <row r="55" spans="1:14" ht="15.75">
      <c r="A55" s="503" t="s">
        <v>172</v>
      </c>
      <c r="B55" s="503"/>
      <c r="C55" s="503"/>
      <c r="D55" s="503"/>
      <c r="E55" s="503"/>
      <c r="F55" s="466">
        <v>105856529</v>
      </c>
      <c r="G55" s="466">
        <v>105856529</v>
      </c>
      <c r="H55" s="466">
        <v>713388</v>
      </c>
      <c r="I55" s="466">
        <v>105145443</v>
      </c>
      <c r="J55" s="466">
        <v>105145443</v>
      </c>
      <c r="K55" s="466">
        <v>668</v>
      </c>
      <c r="L55" s="519"/>
      <c r="M55" s="516"/>
      <c r="N55" s="424"/>
    </row>
    <row r="56" spans="1:14">
      <c r="L56" s="205"/>
    </row>
    <row r="57" spans="1:14">
      <c r="F57" s="19"/>
      <c r="H57" s="203"/>
      <c r="I57" s="204"/>
    </row>
  </sheetData>
  <mergeCells count="62">
    <mergeCell ref="A52:A53"/>
    <mergeCell ref="G52:G53"/>
    <mergeCell ref="J52:J53"/>
    <mergeCell ref="A54:E54"/>
    <mergeCell ref="A55:E55"/>
    <mergeCell ref="A50:A51"/>
    <mergeCell ref="G50:G51"/>
    <mergeCell ref="J50:J51"/>
    <mergeCell ref="A46:A47"/>
    <mergeCell ref="G46:G47"/>
    <mergeCell ref="H46:H47"/>
    <mergeCell ref="J46:J47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11:A12"/>
    <mergeCell ref="G11:G12"/>
    <mergeCell ref="H11:H12"/>
    <mergeCell ref="J11:J12"/>
    <mergeCell ref="A13:A14"/>
    <mergeCell ref="G13:G14"/>
    <mergeCell ref="H13:H14"/>
    <mergeCell ref="J13:J14"/>
    <mergeCell ref="A5:K5"/>
    <mergeCell ref="A6:A7"/>
    <mergeCell ref="G6:G7"/>
    <mergeCell ref="J6:J7"/>
    <mergeCell ref="A9:A10"/>
    <mergeCell ref="G9:G10"/>
    <mergeCell ref="J9:J10"/>
    <mergeCell ref="A1:A4"/>
    <mergeCell ref="B1:B4"/>
    <mergeCell ref="D1:E2"/>
    <mergeCell ref="K1:K3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Ene</vt:lpstr>
      <vt:lpstr>Feb</vt:lpstr>
      <vt:lpstr>Mar</vt:lpstr>
      <vt:lpstr>Jul</vt:lpstr>
      <vt:lpstr>Ago</vt:lpstr>
      <vt:lpstr>Sep</vt:lpstr>
      <vt:lpstr>enero</vt:lpstr>
      <vt:lpstr>febrero</vt:lpstr>
      <vt:lpstr>marzo</vt:lpstr>
      <vt:lpstr>Enero-Marzo</vt:lpstr>
      <vt:lpstr>1er Sem</vt:lpstr>
      <vt:lpstr>3er Trimestre</vt:lpstr>
      <vt:lpstr>Año 2018</vt:lpstr>
      <vt:lpstr>Año 2018 por zona</vt:lpstr>
      <vt:lpstr>1er trimestre</vt:lpstr>
      <vt:lpstr>'1er Sem'!Área_de_impresión</vt:lpstr>
      <vt:lpstr>'3er Trimestre'!Área_de_impresión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Andrés Santana Peralta</dc:creator>
  <cp:lastModifiedBy>Juan Carlos De Los Santos Melo</cp:lastModifiedBy>
  <cp:lastPrinted>2026-04-21T20:04:42Z</cp:lastPrinted>
  <dcterms:created xsi:type="dcterms:W3CDTF">2015-04-29T14:42:36Z</dcterms:created>
  <dcterms:modified xsi:type="dcterms:W3CDTF">2026-04-22T12:32:41Z</dcterms:modified>
</cp:coreProperties>
</file>